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l.carpenter\Documents\GitHub\Personal-Git\Portfolio\docs\01-Visual-Storytelling\01-Capital-Allocation\data\"/>
    </mc:Choice>
  </mc:AlternateContent>
  <xr:revisionPtr revIDLastSave="0" documentId="13_ncr:1_{79BDF288-51E6-4158-BFC9-8D34B646F64A}" xr6:coauthVersionLast="47" xr6:coauthVersionMax="47" xr10:uidLastSave="{00000000-0000-0000-0000-000000000000}"/>
  <bookViews>
    <workbookView xWindow="28680" yWindow="-180" windowWidth="29040" windowHeight="15720" activeTab="2" xr2:uid="{6EE0CE4B-CE9A-4297-B39F-224B9C12241C}"/>
  </bookViews>
  <sheets>
    <sheet name="Database" sheetId="3" r:id="rId1"/>
    <sheet name="Allocation Ranges" sheetId="6" r:id="rId2"/>
    <sheet name="Anticipated Ranges - Main" sheetId="7" r:id="rId3"/>
    <sheet name="Anticipated Ranges - Annotation" sheetId="8" r:id="rId4"/>
  </sheets>
  <externalReferences>
    <externalReference r:id="rId5"/>
  </externalReferences>
  <definedNames>
    <definedName name="currentFiscalYear">'[1]1 - Allocations Overview'!$D$2</definedName>
    <definedName name="lowerBoundAllocation">'Allocation Ranges'!$B$4</definedName>
    <definedName name="maxRealizedYear">'[1]Base and Excess Form'!#REF!</definedName>
    <definedName name="minYear">#REF!</definedName>
    <definedName name="netIncome">'[1]1 - Allocations Overview'!$D$8</definedName>
    <definedName name="totalBusiness">'[1]1 - Allocations Overview'!$C$27</definedName>
    <definedName name="totalGovt">'[1]1 - Allocations Overview'!$C$23</definedName>
    <definedName name="totalSusFund">'[1]1 - Allocations Overview'!$C$25</definedName>
    <definedName name="upperBoundAllocation">'Allocation Ranges'!$B$2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F12" i="3" l="1"/>
  <c r="Q12" i="3"/>
  <c r="R12" i="3"/>
  <c r="C11" i="3"/>
  <c r="A3" i="3"/>
  <c r="A4" i="3" s="1"/>
  <c r="A5" i="3" s="1"/>
  <c r="A6" i="3" s="1"/>
  <c r="A7" i="3" s="1"/>
  <c r="A8" i="3" s="1"/>
  <c r="A9" i="3" s="1"/>
  <c r="A10" i="3" s="1"/>
  <c r="A11" i="3" s="1"/>
  <c r="A12" i="3" s="1"/>
  <c r="N2" i="3"/>
  <c r="F11" i="3" l="1"/>
  <c r="M12" i="3" s="1"/>
  <c r="H11" i="3"/>
  <c r="K11" i="3" s="1"/>
  <c r="C10" i="3"/>
  <c r="H10" i="3" s="1"/>
  <c r="R11" i="3"/>
  <c r="Q11" i="3"/>
  <c r="G12" i="3"/>
  <c r="J12" i="3" s="1"/>
  <c r="K12" i="3"/>
  <c r="D12" i="3"/>
  <c r="I11" i="3"/>
  <c r="F10" i="3" l="1"/>
  <c r="Q10" i="3" s="1"/>
  <c r="C9" i="3"/>
  <c r="H9" i="3" s="1"/>
  <c r="G11" i="3"/>
  <c r="J11" i="3" s="1"/>
  <c r="O12" i="3"/>
  <c r="I12" i="3"/>
  <c r="M11" i="3" l="1"/>
  <c r="R10" i="3"/>
  <c r="O11" i="3"/>
  <c r="I10" i="3"/>
  <c r="F9" i="3"/>
  <c r="C8" i="3"/>
  <c r="H8" i="3" s="1"/>
  <c r="R9" i="3"/>
  <c r="D10" i="3"/>
  <c r="G10" i="3"/>
  <c r="J10" i="3" s="1"/>
  <c r="K10" i="3"/>
  <c r="D11" i="3"/>
  <c r="F8" i="3" l="1"/>
  <c r="O9" i="3" s="1"/>
  <c r="O10" i="3"/>
  <c r="M10" i="3"/>
  <c r="M9" i="3"/>
  <c r="Q9" i="3"/>
  <c r="C7" i="3"/>
  <c r="H7" i="3" s="1"/>
  <c r="R8" i="3"/>
  <c r="E12" i="3"/>
  <c r="G9" i="3"/>
  <c r="J9" i="3" s="1"/>
  <c r="K9" i="3"/>
  <c r="D9" i="3"/>
  <c r="E11" i="3" s="1"/>
  <c r="I9" i="3"/>
  <c r="F7" i="3" l="1"/>
  <c r="Q7" i="3" s="1"/>
  <c r="Q8" i="3"/>
  <c r="C6" i="3"/>
  <c r="H6" i="3" s="1"/>
  <c r="R7" i="3"/>
  <c r="G8" i="3"/>
  <c r="J8" i="3" s="1"/>
  <c r="K8" i="3"/>
  <c r="D8" i="3"/>
  <c r="E10" i="3" s="1"/>
  <c r="I8" i="3"/>
  <c r="M8" i="3" l="1"/>
  <c r="O8" i="3"/>
  <c r="F6" i="3"/>
  <c r="C5" i="3"/>
  <c r="H5" i="3" s="1"/>
  <c r="R6" i="3"/>
  <c r="G7" i="3"/>
  <c r="J7" i="3" s="1"/>
  <c r="D7" i="3"/>
  <c r="E9" i="3" s="1"/>
  <c r="K7" i="3"/>
  <c r="I7" i="3"/>
  <c r="M7" i="3" l="1"/>
  <c r="F5" i="3"/>
  <c r="Q6" i="3"/>
  <c r="O7" i="3"/>
  <c r="C4" i="3"/>
  <c r="H4" i="3" s="1"/>
  <c r="R5" i="3"/>
  <c r="D6" i="3"/>
  <c r="E8" i="3" s="1"/>
  <c r="G6" i="3"/>
  <c r="J6" i="3" s="1"/>
  <c r="K6" i="3"/>
  <c r="I6" i="3"/>
  <c r="F4" i="3" l="1"/>
  <c r="M5" i="3" s="1"/>
  <c r="Q5" i="3"/>
  <c r="M6" i="3"/>
  <c r="O6" i="3"/>
  <c r="C3" i="3"/>
  <c r="H3" i="3" s="1"/>
  <c r="R4" i="3"/>
  <c r="G5" i="3"/>
  <c r="J5" i="3" s="1"/>
  <c r="K5" i="3"/>
  <c r="D5" i="3"/>
  <c r="E7" i="3" s="1"/>
  <c r="I5" i="3"/>
  <c r="O5" i="3" l="1"/>
  <c r="F3" i="3"/>
  <c r="Q3" i="3" s="1"/>
  <c r="Q4" i="3"/>
  <c r="C2" i="3"/>
  <c r="R3" i="3"/>
  <c r="G4" i="3"/>
  <c r="J4" i="3" s="1"/>
  <c r="K4" i="3"/>
  <c r="I4" i="3"/>
  <c r="D4" i="3"/>
  <c r="E6" i="3" s="1"/>
  <c r="M4" i="3" l="1"/>
  <c r="O4" i="3"/>
  <c r="F2" i="3"/>
  <c r="N3" i="3" s="1"/>
  <c r="P3" i="3" s="1"/>
  <c r="H2" i="3"/>
  <c r="O2" i="3"/>
  <c r="M3" i="3"/>
  <c r="O3" i="3"/>
  <c r="R2" i="3"/>
  <c r="Q2" i="3"/>
  <c r="G3" i="3"/>
  <c r="J3" i="3" s="1"/>
  <c r="K3" i="3"/>
  <c r="D3" i="3"/>
  <c r="E5" i="3" s="1"/>
  <c r="I3" i="3"/>
  <c r="M2" i="3" l="1"/>
  <c r="G2" i="3"/>
  <c r="J2" i="3" s="1"/>
  <c r="K2" i="3"/>
  <c r="D2" i="3"/>
  <c r="N4" i="3" s="1"/>
  <c r="P4" i="3" s="1"/>
  <c r="P2" i="3"/>
  <c r="I2" i="3"/>
  <c r="N7" i="3" l="1"/>
  <c r="P7" i="3" s="1"/>
  <c r="N10" i="3"/>
  <c r="P10" i="3" s="1"/>
  <c r="N8" i="3" l="1"/>
  <c r="P8" i="3" s="1"/>
  <c r="N6" i="3"/>
  <c r="P6" i="3" s="1"/>
  <c r="N5" i="3"/>
  <c r="P5" i="3" s="1"/>
  <c r="N11" i="3"/>
  <c r="P11" i="3" s="1"/>
  <c r="N9" i="3"/>
  <c r="P9" i="3" s="1"/>
  <c r="N12" i="3"/>
  <c r="P12" i="3" s="1"/>
  <c r="D2" i="7" l="1"/>
  <c r="E2" i="7" s="1"/>
  <c r="D3" i="7"/>
  <c r="E3" i="7" s="1"/>
</calcChain>
</file>

<file path=xl/sharedStrings.xml><?xml version="1.0" encoding="utf-8"?>
<sst xmlns="http://schemas.openxmlformats.org/spreadsheetml/2006/main" count="60" uniqueCount="42">
  <si>
    <t>Fiscal_Year</t>
  </si>
  <si>
    <t>Description</t>
  </si>
  <si>
    <t>Net_Income</t>
  </si>
  <si>
    <t>Percent_Growth_of_Net_Income</t>
  </si>
  <si>
    <t>Avg_Percent_Growth_of_Net_Income</t>
  </si>
  <si>
    <t>Realized_Percent_Growth_of_Allocation</t>
  </si>
  <si>
    <t>Realized_Nominal_Growth_of_Allocation</t>
  </si>
  <si>
    <t>Realized_Nominal_Min_Growth_of_Allocation</t>
  </si>
  <si>
    <t>Realized_Nominal_Max_Growth_of_Allocation</t>
  </si>
  <si>
    <t>Realized</t>
  </si>
  <si>
    <t>Range</t>
  </si>
  <si>
    <t>Percent_Allocation</t>
  </si>
  <si>
    <t>Upper-Bound Allocation</t>
  </si>
  <si>
    <t>Targeted Allocation</t>
  </si>
  <si>
    <t>Lower-Bound Allocation</t>
  </si>
  <si>
    <t>FY 2026 Forecast</t>
  </si>
  <si>
    <t/>
  </si>
  <si>
    <t>Total_Allocation_to_Use</t>
  </si>
  <si>
    <t>Percent_Allocation_to_Use</t>
  </si>
  <si>
    <t>Total_Retention_by_Source</t>
  </si>
  <si>
    <t>Percent_Retention_by_Source</t>
  </si>
  <si>
    <t>Total_Contribution_to_Investments</t>
  </si>
  <si>
    <t>Percent_Contribution_to_Investments</t>
  </si>
  <si>
    <t>Uses_Growth</t>
  </si>
  <si>
    <t>Investments_Growth</t>
  </si>
  <si>
    <t>Anticipated_Percent_Growth_of_Allocation</t>
  </si>
  <si>
    <t>Anticipated_Nominal_Growth_of_Allocation</t>
  </si>
  <si>
    <t>Anticipated_Percent_Allocation_to_Use</t>
  </si>
  <si>
    <t>Range_Name</t>
  </si>
  <si>
    <t>Method</t>
  </si>
  <si>
    <t>Percent_Growth</t>
  </si>
  <si>
    <t>Nominal_Growth</t>
  </si>
  <si>
    <t>Total_Budget</t>
  </si>
  <si>
    <t>Min_Range</t>
  </si>
  <si>
    <t>Max_Range</t>
  </si>
  <si>
    <t>Title</t>
  </si>
  <si>
    <t>Label</t>
  </si>
  <si>
    <t>Value</t>
  </si>
  <si>
    <t>No Annual Growth</t>
  </si>
  <si>
    <t>Prior Year Budget</t>
  </si>
  <si>
    <t>Long-Run Avg. Net Income Growth</t>
  </si>
  <si>
    <t>Anticipated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</si>
</sst>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0%"/>
    <numFmt numFmtId="165" formatCode="0.0%"/>
    <numFmt numFmtId="166" formatCode="&quot;$&quot;#,##0.0,,&quot; MM&quot;"/>
  </numFmts>
  <fonts count="9" x14ac:knownFonts="1">
    <font>
      <sz val="11"/>
      <color theme="1"/>
      <name val="Calibri"/>
      <family val="2"/>
      <scheme val="minor"/>
    </font>
    <font>
      <sz val="11"/>
      <color theme="1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1"/>
      <name val="Calibri"/>
      <family val="2"/>
    </font>
    <font>
      <sz val="11"/>
      <color theme="1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164" fontId="4" fillId="3" borderId="0" xfId="1" applyNumberFormat="1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41" fontId="5" fillId="5" borderId="4" xfId="0" applyNumberFormat="1" applyFont="1" applyFill="1" applyBorder="1"/>
    <xf numFmtId="164" fontId="5" fillId="5" borderId="4" xfId="1" applyNumberFormat="1" applyFont="1" applyFill="1" applyBorder="1"/>
    <xf numFmtId="165" fontId="5" fillId="5" borderId="4" xfId="1" applyNumberFormat="1" applyFont="1" applyFill="1" applyBorder="1"/>
    <xf numFmtId="165" fontId="0" fillId="0" borderId="4" xfId="1" applyNumberFormat="1" applyFont="1" applyFill="1" applyBorder="1"/>
    <xf numFmtId="41" fontId="0" fillId="0" borderId="4" xfId="1" applyNumberFormat="1" applyFont="1" applyFill="1" applyBorder="1"/>
    <xf numFmtId="41" fontId="5" fillId="5" borderId="5" xfId="0" applyNumberFormat="1" applyFont="1" applyFill="1" applyBorder="1"/>
    <xf numFmtId="164" fontId="5" fillId="5" borderId="5" xfId="1" applyNumberFormat="1" applyFont="1" applyFill="1" applyBorder="1"/>
    <xf numFmtId="165" fontId="5" fillId="5" borderId="5" xfId="1" applyNumberFormat="1" applyFont="1" applyFill="1" applyBorder="1"/>
    <xf numFmtId="165" fontId="0" fillId="0" borderId="5" xfId="1" applyNumberFormat="1" applyFont="1" applyFill="1" applyBorder="1"/>
    <xf numFmtId="41" fontId="0" fillId="0" borderId="5" xfId="1" applyNumberFormat="1" applyFont="1" applyFill="1" applyBorder="1"/>
    <xf numFmtId="41" fontId="5" fillId="0" borderId="4" xfId="0" applyNumberFormat="1" applyFont="1" applyBorder="1"/>
    <xf numFmtId="0" fontId="6" fillId="4" borderId="0" xfId="0" applyFont="1" applyFill="1" applyAlignment="1">
      <alignment horizontal="center" wrapText="1"/>
    </xf>
    <xf numFmtId="165" fontId="0" fillId="0" borderId="0" xfId="1" applyNumberFormat="1" applyFont="1"/>
    <xf numFmtId="166" fontId="7" fillId="0" borderId="0" xfId="2" applyNumberFormat="1" applyFont="1" applyBorder="1" applyAlignment="1"/>
    <xf numFmtId="0" fontId="8" fillId="0" borderId="0" xfId="0" applyFont="1"/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28">
    <dxf>
      <font>
        <strike val="0"/>
        <outline val="0"/>
        <shadow val="0"/>
        <u val="none"/>
        <vertAlign val="baseline"/>
        <sz val="11"/>
        <color theme="1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3743705557422"/>
        </left>
        <right/>
        <top style="thin">
          <color theme="4" tint="0.399914548173467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%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%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14990691854609822"/>
        </left>
        <right style="thin">
          <color theme="0" tint="-0.14993743705557422"/>
        </right>
        <top style="thin">
          <color theme="4" tint="0.399914548173467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.carpenter\Documents\GitHub\Personal-Git\Portfolio\docs\01-Visual-Storytelling\01-Capital-Allocation\data\Annual%20Allocation%20Calculations.xlsx" TargetMode="External"/><Relationship Id="rId1" Type="http://schemas.openxmlformats.org/officeDocument/2006/relationships/externalLinkPath" Target="Annual%20Allocation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1 - Allocations Overview"/>
      <sheetName val="3 - Prior Year Comparison "/>
      <sheetName val="4 - Targeted Growth Rate"/>
      <sheetName val="Overview - Targeted"/>
      <sheetName val="5 - GAF"/>
      <sheetName val="Base and Excess Form"/>
      <sheetName val="Targeted Growth Comparison"/>
      <sheetName val="Data Output - Target Ranges"/>
      <sheetName val="Data Output - Annotations"/>
      <sheetName val="Net Income Monthly"/>
      <sheetName val="CPI Monthly"/>
      <sheetName val="Allocations Database"/>
      <sheetName val="Projected Data"/>
      <sheetName val="CPI"/>
      <sheetName val="GAF"/>
      <sheetName val="Review"/>
    </sheetNames>
    <sheetDataSet>
      <sheetData sheetId="0"/>
      <sheetData sheetId="1">
        <row r="2">
          <cell r="D2">
            <v>2026</v>
          </cell>
        </row>
        <row r="8">
          <cell r="D8">
            <v>949999999.99999988</v>
          </cell>
        </row>
        <row r="23">
          <cell r="C23">
            <v>888742903.20512652</v>
          </cell>
        </row>
        <row r="25">
          <cell r="C25">
            <v>70000000.000000015</v>
          </cell>
        </row>
        <row r="27">
          <cell r="C27">
            <v>-8742903.2051266581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0E6F06-A006-4E1E-BE51-AC3CEDFC7239}" name="Database8" displayName="Database8" ref="A1:T12" totalsRowShown="0" headerRowDxfId="27">
  <autoFilter ref="A1:T12" xr:uid="{DB0E6F06-A006-4E1E-BE51-AC3CEDFC7239}"/>
  <tableColumns count="20">
    <tableColumn id="1" xr3:uid="{1F5A7CAE-93FB-4FF1-8721-A6F940762D6F}" name="Fiscal_Year" dataDxfId="26"/>
    <tableColumn id="14" xr3:uid="{E7349CE0-1580-4E4A-A56F-84D4B117ED49}" name="Description" dataDxfId="25"/>
    <tableColumn id="2" xr3:uid="{BD067FCE-CA8F-469E-BF08-7CE7F52E8470}" name="Net_Income" dataDxfId="24"/>
    <tableColumn id="15" xr3:uid="{D59A669C-E520-4A90-846A-5FB673FE56BB}" name="Percent_Growth_of_Net_Income" dataDxfId="23" dataCellStyle="Percent">
      <calculatedColumnFormula>IFERROR(Database8[[#This Row],[Net_Income]] / C1 - 1, "")</calculatedColumnFormula>
    </tableColumn>
    <tableColumn id="16" xr3:uid="{15504850-27A6-44BB-A7B7-19C76A671FFA}" name="Avg_Percent_Growth_of_Net_Income" dataDxfId="22" dataCellStyle="Percent"/>
    <tableColumn id="11" xr3:uid="{A25ABFD9-0325-4CD6-BEF9-9B589B78C812}" name="Total_Allocation_to_Use" dataDxfId="21">
      <calculatedColumnFormula>C2 * S2</calculatedColumnFormula>
    </tableColumn>
    <tableColumn id="12" xr3:uid="{C8B08889-8D2E-4A31-8D22-03A10F096134}" name="Total_Retention_by_Source" dataDxfId="20">
      <calculatedColumnFormula>Database8[[#This Row],[Net_Income]] - Database8[[#This Row],[Total_Allocation_to_Use]] - Database8[[#This Row],[Total_Contribution_to_Investments]]</calculatedColumnFormula>
    </tableColumn>
    <tableColumn id="13" xr3:uid="{03723677-8458-49EB-BD31-09E91CFCD1C7}" name="Total_Contribution_to_Investments" dataDxfId="19">
      <calculatedColumnFormula>Database8[[#This Row],[Net_Income]] * T2</calculatedColumnFormula>
    </tableColumn>
    <tableColumn id="21" xr3:uid="{D17A4309-213D-4649-AF0C-06FDE853F589}" name="Percent_Allocation_to_Use" dataDxfId="18" dataCellStyle="Percent">
      <calculatedColumnFormula>Database8[[#This Row],[Total_Allocation_to_Use]] / Database8[[#This Row],[Net_Income]]</calculatedColumnFormula>
    </tableColumn>
    <tableColumn id="20" xr3:uid="{9CEAACC9-B68F-4DD1-B3DD-A27F1A70EA28}" name="Percent_Retention_by_Source" dataDxfId="17" dataCellStyle="Percent">
      <calculatedColumnFormula>Database8[[#This Row],[Total_Retention_by_Source]] / Database8[[#This Row],[Net_Income]]</calculatedColumnFormula>
    </tableColumn>
    <tableColumn id="19" xr3:uid="{81BE34F2-2EAA-4987-82FF-602AD8985338}" name="Percent_Contribution_to_Investments" dataDxfId="16" dataCellStyle="Percent">
      <calculatedColumnFormula>Database8[[#This Row],[Total_Contribution_to_Investments]] / Database8[[#This Row],[Net_Income]]</calculatedColumnFormula>
    </tableColumn>
    <tableColumn id="18" xr3:uid="{13B9820B-9D56-4535-8EA8-886D2D53599B}" name="Anticipated_Percent_Growth_of_Allocation" dataDxfId="15" dataCellStyle="Percent"/>
    <tableColumn id="22" xr3:uid="{2B0F3274-A40C-4C8B-8B7C-3771219B941C}" name="Realized_Percent_Growth_of_Allocation" dataDxfId="14" dataCellStyle="Percent">
      <calculatedColumnFormula>IFERROR(Database8[[#This Row],[Total_Allocation_to_Use]] / F1 - 1, "")</calculatedColumnFormula>
    </tableColumn>
    <tableColumn id="17" xr3:uid="{FBE46F52-BA66-40B8-8AF8-AF9447E8FF46}" name="Anticipated_Nominal_Growth_of_Allocation" dataDxfId="13" dataCellStyle="Percent">
      <calculatedColumnFormula>IFERROR(Database8[[#This Row],[Anticipated_Percent_Growth_of_Allocation]] * F1, "")</calculatedColumnFormula>
    </tableColumn>
    <tableColumn id="23" xr3:uid="{873D9FED-36F2-4D49-94D8-EABFECB814C1}" name="Realized_Nominal_Growth_of_Allocation" dataDxfId="12" dataCellStyle="Percent">
      <calculatedColumnFormula>IFERROR(Database8[[#This Row],[Total_Allocation_to_Use]] - F1, "")</calculatedColumnFormula>
    </tableColumn>
    <tableColumn id="26" xr3:uid="{7432E109-0FE5-40E6-A735-8EE061F56FB4}" name="Anticipated_Percent_Allocation_to_Use" dataDxfId="11" dataCellStyle="Percent">
      <calculatedColumnFormula>IFERROR(
    ( F1 + Database8[[#This Row],[Anticipated_Nominal_Growth_of_Allocation]] ) /  Database8[[#This Row],[Net_Income]],
"")</calculatedColumnFormula>
    </tableColumn>
    <tableColumn id="24" xr3:uid="{EE6C7A02-AFBE-4882-B476-FA3B0A274CA0}" name="Realized_Nominal_Min_Growth_of_Allocation" dataDxfId="10" dataCellStyle="Percent">
      <calculatedColumnFormula>IFERROR(Database8[[#This Row],[Net_Income]] * lowerBoundAllocation - $F2, "")</calculatedColumnFormula>
    </tableColumn>
    <tableColumn id="25" xr3:uid="{333629B8-6360-4A45-89C8-D0E5B7CFE2B1}" name="Realized_Nominal_Max_Growth_of_Allocation" dataDxfId="9" dataCellStyle="Percent">
      <calculatedColumnFormula>IFERROR(Database8[[#This Row],[Net_Income]] * upperBoundAllocation - $F2, "")</calculatedColumnFormula>
    </tableColumn>
    <tableColumn id="3" xr3:uid="{B0176048-594F-4A38-B55E-CB5DF11509B2}" name="Uses_Growth" dataDxfId="8" dataCellStyle="Percent">
      <calculatedColumnFormula>S1 * 1.1</calculatedColumnFormula>
    </tableColumn>
    <tableColumn id="4" xr3:uid="{6DDB3453-DE5D-4CAA-9FA2-4A5D002A11BC}" name="Investments_Growth" dataDxfId="7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33F58-24A9-471D-9488-624D04D52E7B}" name="General_Allocation_Ranges___Tribal_Govt" displayName="General_Allocation_Ranges___Tribal_Govt" ref="A1:B4" totalsRowShown="0" headerRowDxfId="6">
  <autoFilter ref="A1:B4" xr:uid="{F5E33F58-24A9-471D-9488-624D04D52E7B}"/>
  <tableColumns count="2">
    <tableColumn id="1" xr3:uid="{25491760-D77C-4C4D-975C-2306C5049A79}" name="Range"/>
    <tableColumn id="2" xr3:uid="{4502EF45-7D31-4E04-B056-F3F8528B7C92}" name="Percent_Alloc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D5F42-259E-4213-B1FF-8AF3FABBBFBF}" name="Table2" displayName="Table2" ref="A1:E3" totalsRowShown="0" headerRowDxfId="5" dataDxfId="4">
  <autoFilter ref="A1:E3" xr:uid="{EBFE22C0-C4AE-4F4C-B995-0DBA6C5CC0E9}"/>
  <tableColumns count="5">
    <tableColumn id="1" xr3:uid="{62746AFD-F6B7-4503-AD4F-6788F3732C08}" name="Range_Name" dataDxfId="3"/>
    <tableColumn id="5" xr3:uid="{B04B9CF8-3E97-4FDA-A68E-D9E8DE83EC9D}" name="Method"/>
    <tableColumn id="2" xr3:uid="{9E1D2706-4F50-4218-A1EE-6781694B9311}" name="Percent_Growth" dataDxfId="2"/>
    <tableColumn id="3" xr3:uid="{48A7FC4A-9EF8-4B75-B1F2-711DF7D8DD5C}" name="Nominal_Growth" dataDxfId="1"/>
    <tableColumn id="4" xr3:uid="{A696849A-01D7-4E73-8E77-9D90AC6D39AC}" name="Total_Budge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B9EDB7-E3DE-4993-B9D6-25A9C40EF725}" name="Table11" displayName="Table11" ref="A1:C4" totalsRowShown="0" headerRowDxfId="0">
  <autoFilter ref="A1:C4" xr:uid="{868330CA-FB37-45B1-B989-9DEDA31883DE}"/>
  <tableColumns count="3">
    <tableColumn id="1" xr3:uid="{A4B69F2D-3FCF-409B-9627-6545B2146B02}" name="Title"/>
    <tableColumn id="2" xr3:uid="{D9B1BB89-AB95-48A0-8049-11B103C2B080}" name="Label"/>
    <tableColumn id="3" xr3:uid="{499E4BBD-7F2A-4609-BA5E-63CC472144E9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DBC-Styles">
  <a:themeElements>
    <a:clrScheme name="DBC-Style">
      <a:dk1>
        <a:srgbClr val="444444"/>
      </a:dk1>
      <a:lt1>
        <a:srgbClr val="FAFAFA"/>
      </a:lt1>
      <a:dk2>
        <a:srgbClr val="3F4953"/>
      </a:dk2>
      <a:lt2>
        <a:srgbClr val="EAEAEA"/>
      </a:lt2>
      <a:accent1>
        <a:srgbClr val="BECDE0"/>
      </a:accent1>
      <a:accent2>
        <a:srgbClr val="FFD597"/>
      </a:accent2>
      <a:accent3>
        <a:srgbClr val="F6B7B4"/>
      </a:accent3>
      <a:accent4>
        <a:srgbClr val="BEE0D2"/>
      </a:accent4>
      <a:accent5>
        <a:srgbClr val="E4C6DC"/>
      </a:accent5>
      <a:accent6>
        <a:srgbClr val="BDDBE1"/>
      </a:accent6>
      <a:hlink>
        <a:srgbClr val="6388B4"/>
      </a:hlink>
      <a:folHlink>
        <a:srgbClr val="BECDE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374E-8CE1-4146-8512-5A65ED7E2681}">
  <dimension ref="A1:T12"/>
  <sheetViews>
    <sheetView workbookViewId="0"/>
  </sheetViews>
  <sheetFormatPr defaultRowHeight="15" x14ac:dyDescent="0.25"/>
  <cols>
    <col min="1" max="18" width="13.7109375" customWidth="1"/>
  </cols>
  <sheetData>
    <row r="1" spans="1:20" s="1" customFormat="1" ht="60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17</v>
      </c>
      <c r="G1" s="7" t="s">
        <v>19</v>
      </c>
      <c r="H1" s="8" t="s">
        <v>21</v>
      </c>
      <c r="I1" s="9" t="s">
        <v>18</v>
      </c>
      <c r="J1" s="7" t="s">
        <v>20</v>
      </c>
      <c r="K1" s="7" t="s">
        <v>22</v>
      </c>
      <c r="L1" s="4" t="s">
        <v>25</v>
      </c>
      <c r="M1" s="4" t="s">
        <v>5</v>
      </c>
      <c r="N1" s="4" t="s">
        <v>26</v>
      </c>
      <c r="O1" s="4" t="s">
        <v>6</v>
      </c>
      <c r="P1" s="7" t="s">
        <v>27</v>
      </c>
      <c r="Q1" s="4" t="s">
        <v>7</v>
      </c>
      <c r="R1" s="4" t="s">
        <v>8</v>
      </c>
      <c r="S1" s="23" t="s">
        <v>23</v>
      </c>
      <c r="T1" s="23" t="s">
        <v>24</v>
      </c>
    </row>
    <row r="2" spans="1:20" x14ac:dyDescent="0.25">
      <c r="A2" s="10">
        <v>2016</v>
      </c>
      <c r="B2" s="11" t="s">
        <v>9</v>
      </c>
      <c r="C2" s="17">
        <f t="shared" ref="C2:C10" ca="1" si="0">C3 * RANDBETWEEN(900, 1010) * 0.001</f>
        <v>62841154.987564705</v>
      </c>
      <c r="D2" s="13" t="str">
        <f ca="1">IFERROR(Database8[[#This Row],[Net_Income]] / C1 - 1, "")</f>
        <v/>
      </c>
      <c r="E2" s="13" t="s">
        <v>16</v>
      </c>
      <c r="F2" s="22">
        <f t="shared" ref="F2:F12" ca="1" si="1">C2 * S2</f>
        <v>18852346.496269412</v>
      </c>
      <c r="G2" s="12">
        <f ca="1">Database8[[#This Row],[Net_Income]] - Database8[[#This Row],[Total_Allocation_to_Use]] - Database8[[#This Row],[Total_Contribution_to_Investments]]</f>
        <v>25136461.995025881</v>
      </c>
      <c r="H2" s="12">
        <f ca="1">Database8[[#This Row],[Net_Income]] * T2</f>
        <v>18852346.496269412</v>
      </c>
      <c r="I2" s="14">
        <f ca="1">Database8[[#This Row],[Total_Allocation_to_Use]] / Database8[[#This Row],[Net_Income]]</f>
        <v>0.3</v>
      </c>
      <c r="J2" s="14">
        <f ca="1">Database8[[#This Row],[Total_Retention_by_Source]] / Database8[[#This Row],[Net_Income]]</f>
        <v>0.39999999999999997</v>
      </c>
      <c r="K2" s="14">
        <f ca="1">Database8[[#This Row],[Total_Contribution_to_Investments]] / Database8[[#This Row],[Net_Income]]</f>
        <v>0.3</v>
      </c>
      <c r="L2" s="15" t="s">
        <v>16</v>
      </c>
      <c r="M2" s="15" t="str">
        <f ca="1">IFERROR(Database8[[#This Row],[Total_Allocation_to_Use]] / F1 - 1, "")</f>
        <v/>
      </c>
      <c r="N2" s="16" t="str">
        <f>IFERROR(Database8[[#This Row],[Anticipated_Percent_Growth_of_Allocation]] * F1, "")</f>
        <v/>
      </c>
      <c r="O2" s="16" t="str">
        <f ca="1">IFERROR(Database8[[#This Row],[Total_Allocation_to_Use]] - F1, "")</f>
        <v/>
      </c>
      <c r="P2" s="14" t="str">
        <f ca="1">IFERROR(
    ( F1 + Database8[[#This Row],[Anticipated_Nominal_Growth_of_Allocation]] ) /  Database8[[#This Row],[Net_Income]],
"")</f>
        <v/>
      </c>
      <c r="Q2" s="16">
        <f ca="1">IFERROR(Database8[[#This Row],[Net_Income]] * lowerBoundAllocation - $F2, "")</f>
        <v>0</v>
      </c>
      <c r="R2" s="16">
        <f ca="1">IFERROR(Database8[[#This Row],[Net_Income]] * upperBoundAllocation - $F2, "")</f>
        <v>18852346.496269412</v>
      </c>
      <c r="S2" s="24">
        <f>lowerBoundAllocation</f>
        <v>0.3</v>
      </c>
      <c r="T2" s="24">
        <v>0.3</v>
      </c>
    </row>
    <row r="3" spans="1:20" x14ac:dyDescent="0.25">
      <c r="A3" s="10">
        <f t="shared" ref="A3:A12" si="2">A2 + 1</f>
        <v>2017</v>
      </c>
      <c r="B3" s="11" t="s">
        <v>9</v>
      </c>
      <c r="C3" s="17">
        <f t="shared" ca="1" si="0"/>
        <v>66428282.227869667</v>
      </c>
      <c r="D3" s="18">
        <f ca="1">IFERROR(Database8[[#This Row],[Net_Income]] / C2 - 1, "")</f>
        <v>5.7082452431289621E-2</v>
      </c>
      <c r="E3" s="18" t="s">
        <v>16</v>
      </c>
      <c r="F3" s="22">
        <f t="shared" ca="1" si="1"/>
        <v>21921333.135196991</v>
      </c>
      <c r="G3" s="12">
        <f ca="1">Database8[[#This Row],[Net_Income]] - Database8[[#This Row],[Total_Allocation_to_Use]] - Database8[[#This Row],[Total_Contribution_to_Investments]]</f>
        <v>24578464.424311776</v>
      </c>
      <c r="H3" s="12">
        <f ca="1">Database8[[#This Row],[Net_Income]] * T3</f>
        <v>19928484.6683609</v>
      </c>
      <c r="I3" s="19">
        <f ca="1">Database8[[#This Row],[Total_Allocation_to_Use]] / Database8[[#This Row],[Net_Income]]</f>
        <v>0.33</v>
      </c>
      <c r="J3" s="19">
        <f ca="1">Database8[[#This Row],[Total_Retention_by_Source]] / Database8[[#This Row],[Net_Income]]</f>
        <v>0.37</v>
      </c>
      <c r="K3" s="14">
        <f ca="1">Database8[[#This Row],[Total_Contribution_to_Investments]] / Database8[[#This Row],[Net_Income]]</f>
        <v>0.3</v>
      </c>
      <c r="L3" s="20" t="s">
        <v>16</v>
      </c>
      <c r="M3" s="20">
        <f ca="1">IFERROR(Database8[[#This Row],[Total_Allocation_to_Use]] / F2 - 1, "")</f>
        <v>0.16279069767441867</v>
      </c>
      <c r="N3" s="21" t="str">
        <f ca="1">IFERROR(Database8[[#This Row],[Anticipated_Percent_Growth_of_Allocation]] * F2, "")</f>
        <v/>
      </c>
      <c r="O3" s="21">
        <f ca="1">IFERROR(Database8[[#This Row],[Total_Allocation_to_Use]] - F2, "")</f>
        <v>3068986.6389275789</v>
      </c>
      <c r="P3" s="19" t="str">
        <f ca="1">IFERROR(
    ( F2 + Database8[[#This Row],[Anticipated_Nominal_Growth_of_Allocation]] ) /  Database8[[#This Row],[Net_Income]],
"")</f>
        <v/>
      </c>
      <c r="Q3" s="16">
        <f ca="1">IFERROR(Database8[[#This Row],[Net_Income]] * lowerBoundAllocation - $F3, "")</f>
        <v>-1992848.4668360911</v>
      </c>
      <c r="R3" s="16">
        <f ca="1">IFERROR(Database8[[#This Row],[Net_Income]] * upperBoundAllocation - $F3, "")</f>
        <v>17935636.201524809</v>
      </c>
      <c r="S3" s="24">
        <f>S2 * 1.1</f>
        <v>0.33</v>
      </c>
      <c r="T3" s="24">
        <v>0.3</v>
      </c>
    </row>
    <row r="4" spans="1:20" x14ac:dyDescent="0.25">
      <c r="A4" s="10">
        <f t="shared" si="2"/>
        <v>2018</v>
      </c>
      <c r="B4" s="11" t="s">
        <v>9</v>
      </c>
      <c r="C4" s="17">
        <f t="shared" ca="1" si="0"/>
        <v>71814359.165264502</v>
      </c>
      <c r="D4" s="18">
        <f ca="1">IFERROR(Database8[[#This Row],[Net_Income]] / C3 - 1, "")</f>
        <v>8.1081081081081141E-2</v>
      </c>
      <c r="E4" s="18" t="s">
        <v>16</v>
      </c>
      <c r="F4" s="22">
        <f t="shared" ca="1" si="1"/>
        <v>26068612.376991019</v>
      </c>
      <c r="G4" s="12">
        <f ca="1">Database8[[#This Row],[Net_Income]] - Database8[[#This Row],[Total_Allocation_to_Use]] - Database8[[#This Row],[Total_Contribution_to_Investments]]</f>
        <v>24201439.038694132</v>
      </c>
      <c r="H4" s="12">
        <f ca="1">Database8[[#This Row],[Net_Income]] * T4</f>
        <v>21544307.749579351</v>
      </c>
      <c r="I4" s="19">
        <f ca="1">Database8[[#This Row],[Total_Allocation_to_Use]] / Database8[[#This Row],[Net_Income]]</f>
        <v>0.36300000000000004</v>
      </c>
      <c r="J4" s="19">
        <f ca="1">Database8[[#This Row],[Total_Retention_by_Source]] / Database8[[#This Row],[Net_Income]]</f>
        <v>0.33699999999999991</v>
      </c>
      <c r="K4" s="14">
        <f ca="1">Database8[[#This Row],[Total_Contribution_to_Investments]] / Database8[[#This Row],[Net_Income]]</f>
        <v>0.3</v>
      </c>
      <c r="L4" s="20" t="s">
        <v>16</v>
      </c>
      <c r="M4" s="20">
        <f ca="1">IFERROR(Database8[[#This Row],[Total_Allocation_to_Use]] / F3 - 1, "")</f>
        <v>0.18918918918918926</v>
      </c>
      <c r="N4" s="21" t="str">
        <f ca="1">IFERROR(Database8[[#This Row],[Anticipated_Percent_Growth_of_Allocation]] * F3, "")</f>
        <v/>
      </c>
      <c r="O4" s="21">
        <f ca="1">IFERROR(Database8[[#This Row],[Total_Allocation_to_Use]] - F3, "")</f>
        <v>4147279.2417940274</v>
      </c>
      <c r="P4" s="19" t="str">
        <f ca="1">IFERROR(
    ( F3 + Database8[[#This Row],[Anticipated_Nominal_Growth_of_Allocation]] ) /  Database8[[#This Row],[Net_Income]],
"")</f>
        <v/>
      </c>
      <c r="Q4" s="16">
        <f ca="1">IFERROR(Database8[[#This Row],[Net_Income]] * lowerBoundAllocation - $F4, "")</f>
        <v>-4524304.6274116673</v>
      </c>
      <c r="R4" s="16">
        <f ca="1">IFERROR(Database8[[#This Row],[Net_Income]] * upperBoundAllocation - $F4, "")</f>
        <v>17020003.122167684</v>
      </c>
      <c r="S4" s="24">
        <f t="shared" ref="S4:S12" si="3">S3 * 1.1</f>
        <v>0.36300000000000004</v>
      </c>
      <c r="T4" s="24">
        <v>0.3</v>
      </c>
    </row>
    <row r="5" spans="1:20" x14ac:dyDescent="0.25">
      <c r="A5" s="10">
        <f t="shared" si="2"/>
        <v>2019</v>
      </c>
      <c r="B5" s="11" t="s">
        <v>9</v>
      </c>
      <c r="C5" s="17">
        <f t="shared" ca="1" si="0"/>
        <v>74573581.687709764</v>
      </c>
      <c r="D5" s="18">
        <f ca="1">IFERROR(Database8[[#This Row],[Net_Income]] / C4 - 1, "")</f>
        <v>3.8421599169262688E-2</v>
      </c>
      <c r="E5" s="18">
        <f t="shared" ref="E5:E12" ca="1" si="4">AVERAGE(D3:D5)</f>
        <v>5.8861710893877817E-2</v>
      </c>
      <c r="F5" s="22">
        <f t="shared" ca="1" si="1"/>
        <v>29777231.167902514</v>
      </c>
      <c r="G5" s="12">
        <f ca="1">Database8[[#This Row],[Net_Income]] - Database8[[#This Row],[Total_Allocation_to_Use]] - Database8[[#This Row],[Total_Contribution_to_Investments]]</f>
        <v>22424276.01349432</v>
      </c>
      <c r="H5" s="12">
        <f ca="1">Database8[[#This Row],[Net_Income]] * T5</f>
        <v>22372074.506312929</v>
      </c>
      <c r="I5" s="19">
        <f ca="1">Database8[[#This Row],[Total_Allocation_to_Use]] / Database8[[#This Row],[Net_Income]]</f>
        <v>0.3993000000000001</v>
      </c>
      <c r="J5" s="19">
        <f ca="1">Database8[[#This Row],[Total_Retention_by_Source]] / Database8[[#This Row],[Net_Income]]</f>
        <v>0.30069999999999991</v>
      </c>
      <c r="K5" s="14">
        <f ca="1">Database8[[#This Row],[Total_Contribution_to_Investments]] / Database8[[#This Row],[Net_Income]]</f>
        <v>0.3</v>
      </c>
      <c r="L5" s="20">
        <v>3.9000000000000003E-3</v>
      </c>
      <c r="M5" s="20">
        <f ca="1">IFERROR(Database8[[#This Row],[Total_Allocation_to_Use]] / F4 - 1, "")</f>
        <v>0.14226375908618905</v>
      </c>
      <c r="N5" s="21">
        <f ca="1">IFERROR(Database8[[#This Row],[Anticipated_Percent_Growth_of_Allocation]] * F4, "")</f>
        <v>101667.58827026498</v>
      </c>
      <c r="O5" s="21">
        <f ca="1">IFERROR(Database8[[#This Row],[Total_Allocation_to_Use]] - F4, "")</f>
        <v>3708618.7909114957</v>
      </c>
      <c r="P5" s="19">
        <f ca="1">IFERROR(
    ( F4 + Database8[[#This Row],[Anticipated_Nominal_Growth_of_Allocation]] ) /  Database8[[#This Row],[Net_Income]],
"")</f>
        <v>0.35093231910000006</v>
      </c>
      <c r="Q5" s="16">
        <f ca="1">IFERROR(Database8[[#This Row],[Net_Income]] * lowerBoundAllocation - $F5, "")</f>
        <v>-7405156.6615895852</v>
      </c>
      <c r="R5" s="16">
        <f ca="1">IFERROR(Database8[[#This Row],[Net_Income]] * upperBoundAllocation - $F5, "")</f>
        <v>14966917.844723344</v>
      </c>
      <c r="S5" s="24">
        <f t="shared" si="3"/>
        <v>0.3993000000000001</v>
      </c>
      <c r="T5" s="24">
        <v>0.3</v>
      </c>
    </row>
    <row r="6" spans="1:20" x14ac:dyDescent="0.25">
      <c r="A6" s="10">
        <f t="shared" si="2"/>
        <v>2020</v>
      </c>
      <c r="B6" s="11" t="s">
        <v>9</v>
      </c>
      <c r="C6" s="17">
        <f t="shared" ca="1" si="0"/>
        <v>76407358.286587864</v>
      </c>
      <c r="D6" s="18">
        <f ca="1">IFERROR(Database8[[#This Row],[Net_Income]] / C5 - 1, "")</f>
        <v>2.4590163934426146E-2</v>
      </c>
      <c r="E6" s="18">
        <f t="shared" ca="1" si="4"/>
        <v>4.8030948061589994E-2</v>
      </c>
      <c r="F6" s="22">
        <f t="shared" ca="1" si="1"/>
        <v>33560403.980217993</v>
      </c>
      <c r="G6" s="12">
        <f ca="1">Database8[[#This Row],[Net_Income]] - Database8[[#This Row],[Total_Allocation_to_Use]] - Database8[[#This Row],[Total_Contribution_to_Investments]]</f>
        <v>19924746.820393514</v>
      </c>
      <c r="H6" s="12">
        <f ca="1">Database8[[#This Row],[Net_Income]] * T6</f>
        <v>22922207.485976357</v>
      </c>
      <c r="I6" s="19">
        <f ca="1">Database8[[#This Row],[Total_Allocation_to_Use]] / Database8[[#This Row],[Net_Income]]</f>
        <v>0.43923000000000006</v>
      </c>
      <c r="J6" s="19">
        <f ca="1">Database8[[#This Row],[Total_Retention_by_Source]] / Database8[[#This Row],[Net_Income]]</f>
        <v>0.26076999999999995</v>
      </c>
      <c r="K6" s="14">
        <f ca="1">Database8[[#This Row],[Total_Contribution_to_Investments]] / Database8[[#This Row],[Net_Income]]</f>
        <v>0.3</v>
      </c>
      <c r="L6" s="20">
        <v>7.8899999999999998E-2</v>
      </c>
      <c r="M6" s="20">
        <f ca="1">IFERROR(Database8[[#This Row],[Total_Allocation_to_Use]] / F5 - 1, "")</f>
        <v>0.1270491803278686</v>
      </c>
      <c r="N6" s="21">
        <f ca="1">IFERROR(Database8[[#This Row],[Anticipated_Percent_Growth_of_Allocation]] * F5, "")</f>
        <v>2349423.5391475083</v>
      </c>
      <c r="O6" s="21">
        <f ca="1">IFERROR(Database8[[#This Row],[Total_Allocation_to_Use]] - F5, "")</f>
        <v>3783172.8123154789</v>
      </c>
      <c r="P6" s="19">
        <f ca="1">IFERROR(
    ( F5 + Database8[[#This Row],[Anticipated_Nominal_Growth_of_Allocation]] ) /  Database8[[#This Row],[Net_Income]],
"")</f>
        <v>0.42046545552000009</v>
      </c>
      <c r="Q6" s="16">
        <f ca="1">IFERROR(Database8[[#This Row],[Net_Income]] * lowerBoundAllocation - $F6, "")</f>
        <v>-10638196.494241636</v>
      </c>
      <c r="R6" s="16">
        <f ca="1">IFERROR(Database8[[#This Row],[Net_Income]] * upperBoundAllocation - $F6, "")</f>
        <v>12284010.991734721</v>
      </c>
      <c r="S6" s="24">
        <f t="shared" si="3"/>
        <v>0.43923000000000012</v>
      </c>
      <c r="T6" s="24">
        <v>0.3</v>
      </c>
    </row>
    <row r="7" spans="1:20" x14ac:dyDescent="0.25">
      <c r="A7" s="10">
        <f t="shared" si="2"/>
        <v>2021</v>
      </c>
      <c r="B7" s="11" t="s">
        <v>9</v>
      </c>
      <c r="C7" s="17">
        <f t="shared" ca="1" si="0"/>
        <v>77807900.495506987</v>
      </c>
      <c r="D7" s="18">
        <f ca="1">IFERROR(Database8[[#This Row],[Net_Income]] / C6 - 1, "")</f>
        <v>1.8329938900203624E-2</v>
      </c>
      <c r="E7" s="18">
        <f t="shared" ca="1" si="4"/>
        <v>2.7113900667964153E-2</v>
      </c>
      <c r="F7" s="22">
        <f t="shared" ca="1" si="1"/>
        <v>37593120.548105702</v>
      </c>
      <c r="G7" s="12">
        <f ca="1">Database8[[#This Row],[Net_Income]] - Database8[[#This Row],[Total_Allocation_to_Use]] - Database8[[#This Row],[Total_Contribution_to_Investments]]</f>
        <v>16872409.79874919</v>
      </c>
      <c r="H7" s="12">
        <f ca="1">Database8[[#This Row],[Net_Income]] * T7</f>
        <v>23342370.148652095</v>
      </c>
      <c r="I7" s="19">
        <f ca="1">Database8[[#This Row],[Total_Allocation_to_Use]] / Database8[[#This Row],[Net_Income]]</f>
        <v>0.48315300000000017</v>
      </c>
      <c r="J7" s="19">
        <f ca="1">Database8[[#This Row],[Total_Retention_by_Source]] / Database8[[#This Row],[Net_Income]]</f>
        <v>0.21684699999999982</v>
      </c>
      <c r="K7" s="14">
        <f ca="1">Database8[[#This Row],[Total_Contribution_to_Investments]] / Database8[[#This Row],[Net_Income]]</f>
        <v>0.3</v>
      </c>
      <c r="L7" s="20">
        <v>3.39E-2</v>
      </c>
      <c r="M7" s="20">
        <f ca="1">IFERROR(Database8[[#This Row],[Total_Allocation_to_Use]] / F6 - 1, "")</f>
        <v>0.12016293279022427</v>
      </c>
      <c r="N7" s="21">
        <f ca="1">IFERROR(Database8[[#This Row],[Anticipated_Percent_Growth_of_Allocation]] * F6, "")</f>
        <v>1137697.69492939</v>
      </c>
      <c r="O7" s="21">
        <f ca="1">IFERROR(Database8[[#This Row],[Total_Allocation_to_Use]] - F6, "")</f>
        <v>4032716.5678877085</v>
      </c>
      <c r="P7" s="19">
        <f ca="1">IFERROR(
    ( F6 + Database8[[#This Row],[Anticipated_Nominal_Growth_of_Allocation]] ) /  Database8[[#This Row],[Net_Income]],
"")</f>
        <v>0.44594573885400013</v>
      </c>
      <c r="Q7" s="16">
        <f ca="1">IFERROR(Database8[[#This Row],[Net_Income]] * lowerBoundAllocation - $F7, "")</f>
        <v>-14250750.399453606</v>
      </c>
      <c r="R7" s="16">
        <f ca="1">IFERROR(Database8[[#This Row],[Net_Income]] * upperBoundAllocation - $F7, "")</f>
        <v>9091619.7491984889</v>
      </c>
      <c r="S7" s="24">
        <f t="shared" si="3"/>
        <v>0.48315300000000017</v>
      </c>
      <c r="T7" s="24">
        <v>0.3</v>
      </c>
    </row>
    <row r="8" spans="1:20" x14ac:dyDescent="0.25">
      <c r="A8" s="10">
        <f t="shared" si="2"/>
        <v>2022</v>
      </c>
      <c r="B8" s="11" t="s">
        <v>9</v>
      </c>
      <c r="C8" s="17">
        <f t="shared" ca="1" si="0"/>
        <v>78514531.276999995</v>
      </c>
      <c r="D8" s="18">
        <f ca="1">IFERROR(Database8[[#This Row],[Net_Income]] / C7 - 1, "")</f>
        <v>9.0817356205854516E-3</v>
      </c>
      <c r="E8" s="18">
        <f t="shared" ca="1" si="4"/>
        <v>1.7333946151738406E-2</v>
      </c>
      <c r="F8" s="22">
        <f t="shared" ca="1" si="1"/>
        <v>41727984.463084035</v>
      </c>
      <c r="G8" s="12">
        <f ca="1">Database8[[#This Row],[Net_Income]] - Database8[[#This Row],[Total_Allocation_to_Use]] - Database8[[#This Row],[Total_Contribution_to_Investments]]</f>
        <v>13232187.430815961</v>
      </c>
      <c r="H8" s="12">
        <f ca="1">Database8[[#This Row],[Net_Income]] * T8</f>
        <v>23554359.383099999</v>
      </c>
      <c r="I8" s="19">
        <f ca="1">Database8[[#This Row],[Total_Allocation_to_Use]] / Database8[[#This Row],[Net_Income]]</f>
        <v>0.53146830000000023</v>
      </c>
      <c r="J8" s="19">
        <f ca="1">Database8[[#This Row],[Total_Retention_by_Source]] / Database8[[#This Row],[Net_Income]]</f>
        <v>0.16853169999999976</v>
      </c>
      <c r="K8" s="14">
        <f ca="1">Database8[[#This Row],[Total_Contribution_to_Investments]] / Database8[[#This Row],[Net_Income]]</f>
        <v>0.3</v>
      </c>
      <c r="L8" s="20">
        <v>1.06E-2</v>
      </c>
      <c r="M8" s="20">
        <f ca="1">IFERROR(Database8[[#This Row],[Total_Allocation_to_Use]] / F7 - 1, "")</f>
        <v>0.10998990918264395</v>
      </c>
      <c r="N8" s="21">
        <f ca="1">IFERROR(Database8[[#This Row],[Anticipated_Percent_Growth_of_Allocation]] * F7, "")</f>
        <v>398487.07780992042</v>
      </c>
      <c r="O8" s="21">
        <f ca="1">IFERROR(Database8[[#This Row],[Total_Allocation_to_Use]] - F7, "")</f>
        <v>4134863.9149783328</v>
      </c>
      <c r="P8" s="19">
        <f ca="1">IFERROR(
    ( F7 + Database8[[#This Row],[Anticipated_Nominal_Growth_of_Allocation]] ) /  Database8[[#This Row],[Net_Income]],
"")</f>
        <v>0.48387995200380018</v>
      </c>
      <c r="Q8" s="16">
        <f ca="1">IFERROR(Database8[[#This Row],[Net_Income]] * lowerBoundAllocation - $F8, "")</f>
        <v>-18173625.079984035</v>
      </c>
      <c r="R8" s="16">
        <f ca="1">IFERROR(Database8[[#This Row],[Net_Income]] * upperBoundAllocation - $F8, "")</f>
        <v>5380734.3031159639</v>
      </c>
      <c r="S8" s="24">
        <f t="shared" si="3"/>
        <v>0.53146830000000023</v>
      </c>
      <c r="T8" s="24">
        <v>0.3</v>
      </c>
    </row>
    <row r="9" spans="1:20" x14ac:dyDescent="0.25">
      <c r="A9" s="10">
        <f t="shared" si="2"/>
        <v>2023</v>
      </c>
      <c r="B9" s="11" t="s">
        <v>9</v>
      </c>
      <c r="C9" s="17">
        <f t="shared" ca="1" si="0"/>
        <v>80693249</v>
      </c>
      <c r="D9" s="18">
        <f ca="1">IFERROR(Database8[[#This Row],[Net_Income]] / C8 - 1, "")</f>
        <v>2.7749229188078095E-2</v>
      </c>
      <c r="E9" s="18">
        <f t="shared" ca="1" si="4"/>
        <v>1.8386967902955725E-2</v>
      </c>
      <c r="F9" s="22">
        <f t="shared" ca="1" si="1"/>
        <v>47174494.254257396</v>
      </c>
      <c r="G9" s="12">
        <f ca="1">Database8[[#This Row],[Net_Income]] - Database8[[#This Row],[Total_Allocation_to_Use]] - Database8[[#This Row],[Total_Contribution_to_Investments]]</f>
        <v>9310780.0457426049</v>
      </c>
      <c r="H9" s="12">
        <f ca="1">Database8[[#This Row],[Net_Income]] * T9</f>
        <v>24207974.699999999</v>
      </c>
      <c r="I9" s="19">
        <f ca="1">Database8[[#This Row],[Total_Allocation_to_Use]] / Database8[[#This Row],[Net_Income]]</f>
        <v>0.58461513000000032</v>
      </c>
      <c r="J9" s="19">
        <f ca="1">Database8[[#This Row],[Total_Retention_by_Source]] / Database8[[#This Row],[Net_Income]]</f>
        <v>0.1153848699999997</v>
      </c>
      <c r="K9" s="14">
        <f ca="1">Database8[[#This Row],[Total_Contribution_to_Investments]] / Database8[[#This Row],[Net_Income]]</f>
        <v>0.3</v>
      </c>
      <c r="L9" s="20">
        <v>1.84E-2</v>
      </c>
      <c r="M9" s="20">
        <f ca="1">IFERROR(Database8[[#This Row],[Total_Allocation_to_Use]] / F8 - 1, "")</f>
        <v>0.13052415210688606</v>
      </c>
      <c r="N9" s="21">
        <f ca="1">IFERROR(Database8[[#This Row],[Anticipated_Percent_Growth_of_Allocation]] * F8, "")</f>
        <v>767794.91412074619</v>
      </c>
      <c r="O9" s="21">
        <f ca="1">IFERROR(Database8[[#This Row],[Total_Allocation_to_Use]] - F8, "")</f>
        <v>5446509.7911733612</v>
      </c>
      <c r="P9" s="19">
        <f ca="1">IFERROR(
    ( F8 + Database8[[#This Row],[Anticipated_Nominal_Growth_of_Allocation]] ) /  Database8[[#This Row],[Net_Income]],
"")</f>
        <v>0.52663363916856021</v>
      </c>
      <c r="Q9" s="16">
        <f ca="1">IFERROR(Database8[[#This Row],[Net_Income]] * lowerBoundAllocation - $F9, "")</f>
        <v>-22966519.554257397</v>
      </c>
      <c r="R9" s="16">
        <f ca="1">IFERROR(Database8[[#This Row],[Net_Income]] * upperBoundAllocation - $F9, "")</f>
        <v>1241455.1457426026</v>
      </c>
      <c r="S9" s="24">
        <f t="shared" si="3"/>
        <v>0.58461513000000032</v>
      </c>
      <c r="T9" s="24">
        <v>0.3</v>
      </c>
    </row>
    <row r="10" spans="1:20" x14ac:dyDescent="0.25">
      <c r="A10" s="10">
        <f t="shared" si="2"/>
        <v>2024</v>
      </c>
      <c r="B10" s="11" t="s">
        <v>9</v>
      </c>
      <c r="C10" s="17">
        <f t="shared" ca="1" si="0"/>
        <v>83447000</v>
      </c>
      <c r="D10" s="18">
        <f ca="1">IFERROR(Database8[[#This Row],[Net_Income]] / C9 - 1, "")</f>
        <v>3.4126163391933861E-2</v>
      </c>
      <c r="E10" s="18">
        <f t="shared" ca="1" si="4"/>
        <v>2.3652376066865804E-2</v>
      </c>
      <c r="F10" s="22">
        <f t="shared" ca="1" si="1"/>
        <v>53662816.628421038</v>
      </c>
      <c r="G10" s="12">
        <f ca="1">Database8[[#This Row],[Net_Income]] - Database8[[#This Row],[Total_Allocation_to_Use]] - Database8[[#This Row],[Total_Contribution_to_Investments]]</f>
        <v>8922433.3715789616</v>
      </c>
      <c r="H10" s="12">
        <f ca="1">Database8[[#This Row],[Net_Income]] * T10</f>
        <v>20861750</v>
      </c>
      <c r="I10" s="19">
        <f ca="1">Database8[[#This Row],[Total_Allocation_to_Use]] / Database8[[#This Row],[Net_Income]]</f>
        <v>0.64307664300000045</v>
      </c>
      <c r="J10" s="19">
        <f ca="1">Database8[[#This Row],[Total_Retention_by_Source]] / Database8[[#This Row],[Net_Income]]</f>
        <v>0.10692335699999954</v>
      </c>
      <c r="K10" s="14">
        <f ca="1">Database8[[#This Row],[Total_Contribution_to_Investments]] / Database8[[#This Row],[Net_Income]]</f>
        <v>0.25</v>
      </c>
      <c r="L10" s="20">
        <v>4.5999999999999999E-2</v>
      </c>
      <c r="M10" s="20">
        <f ca="1">IFERROR(Database8[[#This Row],[Total_Allocation_to_Use]] / F9 - 1, "")</f>
        <v>0.13753877973112738</v>
      </c>
      <c r="N10" s="21">
        <f ca="1">IFERROR(Database8[[#This Row],[Anticipated_Percent_Growth_of_Allocation]] * F9, "")</f>
        <v>2170026.7356958403</v>
      </c>
      <c r="O10" s="21">
        <f ca="1">IFERROR(Database8[[#This Row],[Total_Allocation_to_Use]] - F9, "")</f>
        <v>6488322.3741636425</v>
      </c>
      <c r="P10" s="19">
        <f ca="1">IFERROR(
    ( F9 + Database8[[#This Row],[Anticipated_Nominal_Growth_of_Allocation]] ) /  Database8[[#This Row],[Net_Income]],
"")</f>
        <v>0.5913276809226603</v>
      </c>
      <c r="Q10" s="16">
        <f ca="1">IFERROR(Database8[[#This Row],[Net_Income]] * lowerBoundAllocation - $F10, "")</f>
        <v>-28628716.628421038</v>
      </c>
      <c r="R10" s="16">
        <f ca="1">IFERROR(Database8[[#This Row],[Net_Income]] * upperBoundAllocation - $F10, "")</f>
        <v>-3594616.6284210384</v>
      </c>
      <c r="S10" s="24">
        <f t="shared" si="3"/>
        <v>0.64307664300000045</v>
      </c>
      <c r="T10" s="24">
        <v>0.25</v>
      </c>
    </row>
    <row r="11" spans="1:20" x14ac:dyDescent="0.25">
      <c r="A11" s="10">
        <f t="shared" si="2"/>
        <v>2025</v>
      </c>
      <c r="B11" s="11" t="s">
        <v>9</v>
      </c>
      <c r="C11" s="17">
        <f ca="1">C12 * RANDBETWEEN(900, 1010) * 0.001</f>
        <v>91000000</v>
      </c>
      <c r="D11" s="18">
        <f ca="1">IFERROR(Database8[[#This Row],[Net_Income]] / C10 - 1, "")</f>
        <v>9.0512540894220228E-2</v>
      </c>
      <c r="E11" s="18">
        <f t="shared" ca="1" si="4"/>
        <v>5.0795977824744064E-2</v>
      </c>
      <c r="F11" s="22">
        <f t="shared" ca="1" si="1"/>
        <v>64371971.964300051</v>
      </c>
      <c r="G11" s="12">
        <f ca="1">Database8[[#This Row],[Net_Income]] - Database8[[#This Row],[Total_Allocation_to_Use]] - Database8[[#This Row],[Total_Contribution_to_Investments]]</f>
        <v>12978028.035699949</v>
      </c>
      <c r="H11" s="12">
        <f ca="1">Database8[[#This Row],[Net_Income]] * T11</f>
        <v>13650000</v>
      </c>
      <c r="I11" s="19">
        <f ca="1">Database8[[#This Row],[Total_Allocation_to_Use]] / Database8[[#This Row],[Net_Income]]</f>
        <v>0.70738430730000057</v>
      </c>
      <c r="J11" s="19">
        <f ca="1">Database8[[#This Row],[Total_Retention_by_Source]] / Database8[[#This Row],[Net_Income]]</f>
        <v>0.14261569269999944</v>
      </c>
      <c r="K11" s="14">
        <f ca="1">Database8[[#This Row],[Total_Contribution_to_Investments]] / Database8[[#This Row],[Net_Income]]</f>
        <v>0.15</v>
      </c>
      <c r="L11" s="20">
        <v>8.8200000000000001E-2</v>
      </c>
      <c r="M11" s="20">
        <f ca="1">IFERROR(Database8[[#This Row],[Total_Allocation_to_Use]] / F10 - 1, "")</f>
        <v>0.19956379498364241</v>
      </c>
      <c r="N11" s="21">
        <f ca="1">IFERROR(Database8[[#This Row],[Anticipated_Percent_Growth_of_Allocation]] * F10, "")</f>
        <v>4733060.4266267354</v>
      </c>
      <c r="O11" s="21">
        <f ca="1">IFERROR(Database8[[#This Row],[Total_Allocation_to_Use]] - F10, "")</f>
        <v>10709155.335879013</v>
      </c>
      <c r="P11" s="19">
        <f ca="1">IFERROR(
    ( F10 + Database8[[#This Row],[Anticipated_Nominal_Growth_of_Allocation]] ) /  Database8[[#This Row],[Net_Income]],
"")</f>
        <v>0.64171293467085466</v>
      </c>
      <c r="Q11" s="16">
        <f ca="1">IFERROR(Database8[[#This Row],[Net_Income]] * lowerBoundAllocation - $F11, "")</f>
        <v>-37071971.964300051</v>
      </c>
      <c r="R11" s="16">
        <f ca="1">IFERROR(Database8[[#This Row],[Net_Income]] * upperBoundAllocation - $F11, "")</f>
        <v>-9771971.9643000513</v>
      </c>
      <c r="S11" s="24">
        <f t="shared" si="3"/>
        <v>0.70738430730000057</v>
      </c>
      <c r="T11" s="24">
        <v>0.15</v>
      </c>
    </row>
    <row r="12" spans="1:20" x14ac:dyDescent="0.25">
      <c r="A12" s="10">
        <f t="shared" si="2"/>
        <v>2026</v>
      </c>
      <c r="B12" s="11" t="s">
        <v>15</v>
      </c>
      <c r="C12" s="17">
        <v>100000000</v>
      </c>
      <c r="D12" s="18">
        <f ca="1">IFERROR(Database8[[#This Row],[Net_Income]] / C11 - 1, "")</f>
        <v>9.8901098901098994E-2</v>
      </c>
      <c r="E12" s="18">
        <f t="shared" ca="1" si="4"/>
        <v>7.4513267729084356E-2</v>
      </c>
      <c r="F12" s="22">
        <f t="shared" si="1"/>
        <v>77812273.803000063</v>
      </c>
      <c r="G12" s="12">
        <f>Database8[[#This Row],[Net_Income]] - Database8[[#This Row],[Total_Allocation_to_Use]] - Database8[[#This Row],[Total_Contribution_to_Investments]]</f>
        <v>12187726.196999937</v>
      </c>
      <c r="H12" s="12">
        <f>Database8[[#This Row],[Net_Income]] * T12</f>
        <v>10000000</v>
      </c>
      <c r="I12" s="19">
        <f>Database8[[#This Row],[Total_Allocation_to_Use]] / Database8[[#This Row],[Net_Income]]</f>
        <v>0.77812273803000065</v>
      </c>
      <c r="J12" s="19">
        <f>Database8[[#This Row],[Total_Retention_by_Source]] / Database8[[#This Row],[Net_Income]]</f>
        <v>0.12187726196999937</v>
      </c>
      <c r="K12" s="14">
        <f>Database8[[#This Row],[Total_Contribution_to_Investments]] / Database8[[#This Row],[Net_Income]]</f>
        <v>0.1</v>
      </c>
      <c r="L12" s="20">
        <v>5.9500000000000004E-2</v>
      </c>
      <c r="M12" s="20">
        <f ca="1">IFERROR(Database8[[#This Row],[Total_Allocation_to_Use]] / F11 - 1, "")</f>
        <v>0.20879120879120872</v>
      </c>
      <c r="N12" s="21">
        <f ca="1">IFERROR(Database8[[#This Row],[Anticipated_Percent_Growth_of_Allocation]] * F11, "")</f>
        <v>3830132.3318758532</v>
      </c>
      <c r="O12" s="21">
        <f ca="1">IFERROR(Database8[[#This Row],[Total_Allocation_to_Use]] - F11, "")</f>
        <v>13440301.838700011</v>
      </c>
      <c r="P12" s="19">
        <f ca="1">IFERROR(
    ( F11 + Database8[[#This Row],[Anticipated_Nominal_Growth_of_Allocation]] ) /  Database8[[#This Row],[Net_Income]],
"")</f>
        <v>0.68202104296175892</v>
      </c>
      <c r="Q12" s="16">
        <f>IFERROR(Database8[[#This Row],[Net_Income]] * lowerBoundAllocation - $F12, "")</f>
        <v>-47812273.803000063</v>
      </c>
      <c r="R12" s="16">
        <f>IFERROR(Database8[[#This Row],[Net_Income]] * upperBoundAllocation - $F12, "")</f>
        <v>-17812273.803000063</v>
      </c>
      <c r="S12" s="24">
        <f t="shared" si="3"/>
        <v>0.77812273803000065</v>
      </c>
      <c r="T12" s="24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BE9D-68B1-44F9-8722-D5BDFED1A0FF}">
  <dimension ref="A1:B4"/>
  <sheetViews>
    <sheetView workbookViewId="0"/>
  </sheetViews>
  <sheetFormatPr defaultRowHeight="15" x14ac:dyDescent="0.25"/>
  <cols>
    <col min="1" max="1" width="22.7109375" bestFit="1" customWidth="1"/>
    <col min="2" max="2" width="20.42578125" bestFit="1" customWidth="1"/>
  </cols>
  <sheetData>
    <row r="1" spans="1:2" s="2" customFormat="1" x14ac:dyDescent="0.25">
      <c r="A1" s="2" t="s">
        <v>10</v>
      </c>
      <c r="B1" s="2" t="s">
        <v>11</v>
      </c>
    </row>
    <row r="2" spans="1:2" x14ac:dyDescent="0.25">
      <c r="A2" t="s">
        <v>12</v>
      </c>
      <c r="B2">
        <v>0.6</v>
      </c>
    </row>
    <row r="3" spans="1:2" x14ac:dyDescent="0.25">
      <c r="A3" t="s">
        <v>13</v>
      </c>
      <c r="B3">
        <v>0.44999999999999996</v>
      </c>
    </row>
    <row r="4" spans="1:2" x14ac:dyDescent="0.25">
      <c r="A4" t="s">
        <v>14</v>
      </c>
      <c r="B4">
        <v>0.3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7E64-780D-44CF-934E-29426848B696}">
  <dimension ref="A1:E3"/>
  <sheetViews>
    <sheetView tabSelected="1" workbookViewId="0">
      <selection activeCell="B4" sqref="B4"/>
    </sheetView>
  </sheetViews>
  <sheetFormatPr defaultRowHeight="15" x14ac:dyDescent="0.25"/>
  <cols>
    <col min="1" max="1" width="16" bestFit="1" customWidth="1"/>
    <col min="2" max="2" width="38.85546875" bestFit="1" customWidth="1"/>
    <col min="3" max="3" width="18.7109375" bestFit="1" customWidth="1"/>
    <col min="4" max="4" width="19.140625" bestFit="1" customWidth="1"/>
    <col min="5" max="5" width="16.28515625" bestFit="1" customWidth="1"/>
    <col min="6" max="6" width="14.5703125" bestFit="1" customWidth="1"/>
  </cols>
  <sheetData>
    <row r="1" spans="1: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x14ac:dyDescent="0.25">
      <c r="A2" t="s">
        <v>33</v>
      </c>
      <c r="B2" t="s">
        <v>40</v>
      </c>
      <c r="C2" s="24">
        <v>-0.1</v>
      </c>
      <c r="D2" s="25">
        <f>Table2[[#This Row],[Percent_Growth]] * 'Anticipated Ranges - Annotation'!$C$4</f>
        <v>-8500000</v>
      </c>
      <c r="E2" s="27">
        <f>'Anticipated Ranges - Annotation'!$C$4 + Table2[[#This Row],[Nominal_Growth]]</f>
        <v>76500000</v>
      </c>
    </row>
    <row r="3" spans="1:5" x14ac:dyDescent="0.25">
      <c r="A3" t="s">
        <v>34</v>
      </c>
      <c r="B3" t="s">
        <v>41</v>
      </c>
      <c r="C3" s="24">
        <v>0.02</v>
      </c>
      <c r="D3" s="25">
        <f>Table2[[#This Row],[Percent_Growth]] * 'Anticipated Ranges - Annotation'!$C$4</f>
        <v>1700000</v>
      </c>
      <c r="E3" s="27">
        <f>'Anticipated Ranges - Annotation'!$C$4 + Table2[[#This Row],[Nominal_Growth]]</f>
        <v>86700000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4F29-E301-408F-8B43-2CB8F663A798}">
  <dimension ref="A1:C4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2" width="16.7109375" bestFit="1" customWidth="1"/>
    <col min="3" max="3" width="10.42578125" bestFit="1" customWidth="1"/>
  </cols>
  <sheetData>
    <row r="1" spans="1:3" x14ac:dyDescent="0.25">
      <c r="A1" s="26" t="s">
        <v>35</v>
      </c>
      <c r="B1" s="26" t="s">
        <v>36</v>
      </c>
      <c r="C1" s="26" t="s">
        <v>37</v>
      </c>
    </row>
    <row r="2" spans="1:3" x14ac:dyDescent="0.25">
      <c r="A2" t="s">
        <v>30</v>
      </c>
      <c r="B2" t="s">
        <v>38</v>
      </c>
      <c r="C2">
        <v>0</v>
      </c>
    </row>
    <row r="3" spans="1:3" x14ac:dyDescent="0.25">
      <c r="A3" t="s">
        <v>31</v>
      </c>
      <c r="B3" t="s">
        <v>38</v>
      </c>
      <c r="C3">
        <v>0</v>
      </c>
    </row>
    <row r="4" spans="1:3" x14ac:dyDescent="0.25">
      <c r="A4" t="s">
        <v>32</v>
      </c>
      <c r="B4" t="s">
        <v>39</v>
      </c>
      <c r="C4" s="27">
        <v>85000000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EC50B8889164F9499F73D6B22F659" ma:contentTypeVersion="13" ma:contentTypeDescription="Create a new document." ma:contentTypeScope="" ma:versionID="69b7f8d55797d3d986d526cef894f1fd">
  <xsd:schema xmlns:xsd="http://www.w3.org/2001/XMLSchema" xmlns:xs="http://www.w3.org/2001/XMLSchema" xmlns:p="http://schemas.microsoft.com/office/2006/metadata/properties" xmlns:ns2="d93913b3-8df6-4cfd-bd2b-df7fdb0502cb" xmlns:ns3="294f04d4-d851-49fc-99df-afef67022f4f" targetNamespace="http://schemas.microsoft.com/office/2006/metadata/properties" ma:root="true" ma:fieldsID="a0411d47e868c905ee6a963138cb76c4" ns2:_="" ns3:_="">
    <xsd:import namespace="d93913b3-8df6-4cfd-bd2b-df7fdb0502cb"/>
    <xsd:import namespace="294f04d4-d851-49fc-99df-afef67022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913b3-8df6-4cfd-bd2b-df7fdb0502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dc11224-6de9-45cb-84a4-1634eb9167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f04d4-d851-49fc-99df-afef67022f4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7b7e36-44e5-49a6-8b1a-d6b4f5bb8fdb}" ma:internalName="TaxCatchAll" ma:showField="CatchAllData" ma:web="294f04d4-d851-49fc-99df-afef67022f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0 d 9 d 3 8 1 7 - d a e 2 - 4 6 7 6 - 9 0 b 3 - 0 1 4 3 9 a b 2 8 5 0 9 "   x m l n s = " h t t p : / / s c h e m a s . m i c r o s o f t . c o m / D a t a M a s h u p " > A A A A A B Q D A A B Q S w M E F A A C A A g A + l 0 M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+ l 0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d D F s o i k e 4 D g A A A B E A A A A T A B w A R m 9 y b X V s Y X M v U 2 V j d G l v b j E u b S C i G A A o o B Q A A A A A A A A A A A A A A A A A A A A A A A A A A A A r T k 0 u y c z P U w i G 0 I b W A F B L A Q I t A B Q A A g A I A P p d D F t L Q M D j p A A A A P Y A A A A S A A A A A A A A A A A A A A A A A A A A A A B D b 2 5 m a W c v U G F j a 2 F n Z S 5 4 b W x Q S w E C L Q A U A A I A C A D 6 X Q x b D 8 r p q 6 Q A A A D p A A A A E w A A A A A A A A A A A A A A A A D w A A A A W 0 N v b n R l b n R f V H l w Z X N d L n h t b F B L A Q I t A B Q A A g A I A P p d D F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p h F l S v t b 2 Q o B + r T N P f 0 S A A A A A A A I A A A A A A A N m A A D A A A A A E A A A A E V H / a o O G Q r A q Z D 3 H l Q q Z h M A A A A A B I A A A K A A A A A Q A A A A M a h H J h e W C C h D l d B 5 E C l N j F A A A A B y F / I h C S 8 q M / s M 0 y z 9 j r w r r k S I J L 3 r g P a t G i T W p J W Q 8 r m N f Y d j + r J b Z V U E u 1 2 c Y M G F q P g w q n W n e p H + 7 R w H W h m x a t y W Q E Z B / V H h z O y E Z A 7 X M B Q A A A C G 8 S S X m O f q r f F j f E z H 9 R o T K r q M O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f04d4-d851-49fc-99df-afef67022f4f" xsi:nil="true"/>
    <lcf76f155ced4ddcb4097134ff3c332f xmlns="d93913b3-8df6-4cfd-bd2b-df7fdb0502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AFAD05-67F1-4213-880E-1EBB01753D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D8BC0-FC13-4488-B316-485CD67AE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3913b3-8df6-4cfd-bd2b-df7fdb0502cb"/>
    <ds:schemaRef ds:uri="294f04d4-d851-49fc-99df-afef67022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665AC2-70EF-4311-9DC9-31696EF6C5A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0E8D313-2AFC-4089-871D-6E6478BEBD74}">
  <ds:schemaRefs>
    <ds:schemaRef ds:uri="http://schemas.microsoft.com/office/2006/metadata/properties"/>
    <ds:schemaRef ds:uri="http://schemas.microsoft.com/office/infopath/2007/PartnerControls"/>
    <ds:schemaRef ds:uri="294f04d4-d851-49fc-99df-afef67022f4f"/>
    <ds:schemaRef ds:uri="d93913b3-8df6-4cfd-bd2b-df7fdb0502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Database</vt:lpstr>
      <vt:lpstr>Allocation Ranges</vt:lpstr>
      <vt:lpstr>Anticipated Ranges - Main</vt:lpstr>
      <vt:lpstr>Anticipated Ranges - Annotation</vt:lpstr>
      <vt:lpstr>lowerBoundAllocation</vt:lpstr>
      <vt:lpstr>upperBoundAllocation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2023-04-12T16:24:12Z</dcterms:created>
  <dcterms:modified xsi:type="dcterms:W3CDTF">2025-09-12T20:58:22Z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0x010100D0DEC50B8889164F9499F73D6B22F659</vt:lpwstr>
  </property>
  <property fmtid="{D5CDD505-2E9C-101B-9397-08002B2CF9AE}" pid="3" name="MediaServiceImageTags">
    <vt:lpwstr/>
  </property>
</Properties>
</file>