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el.carpenter\Documents\GitHub\Personal-Git\Personal-Website-Dev\docs\01-Visual-Storytelling\01-Capital-Allocation\data\"/>
    </mc:Choice>
  </mc:AlternateContent>
  <xr:revisionPtr revIDLastSave="0" documentId="13_ncr:1_{A62973E3-E0F5-4E3B-8619-68B4B0706C0F}" xr6:coauthVersionLast="47" xr6:coauthVersionMax="47" xr10:uidLastSave="{00000000-0000-0000-0000-000000000000}"/>
  <bookViews>
    <workbookView xWindow="28680" yWindow="-180" windowWidth="29040" windowHeight="15720" xr2:uid="{6EE0CE4B-CE9A-4297-B39F-224B9C12241C}"/>
  </bookViews>
  <sheets>
    <sheet name="Database" sheetId="3" r:id="rId1"/>
    <sheet name="Allocation Ranges" sheetId="6" r:id="rId2"/>
  </sheets>
  <definedNames>
    <definedName name="lowerBoundAllocation">'Allocation Ranges'!$B$4</definedName>
    <definedName name="minYear">#REF!</definedName>
    <definedName name="upperBoundAllocation">'Allocation Ranges'!$B$2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4" i="3" s="1"/>
  <c r="S5" i="3" s="1"/>
  <c r="S6" i="3" s="1"/>
  <c r="S7" i="3" s="1"/>
  <c r="S8" i="3" s="1"/>
  <c r="S9" i="3" s="1"/>
  <c r="S10" i="3" s="1"/>
  <c r="S11" i="3" s="1"/>
  <c r="S12" i="3" s="1"/>
  <c r="H12" i="3"/>
  <c r="S2" i="3"/>
  <c r="F12" i="3" l="1"/>
  <c r="Q12" i="3"/>
  <c r="R12" i="3"/>
  <c r="C11" i="3"/>
  <c r="A3" i="3"/>
  <c r="A4" i="3" s="1"/>
  <c r="A5" i="3" s="1"/>
  <c r="A6" i="3" s="1"/>
  <c r="A7" i="3" s="1"/>
  <c r="A8" i="3" s="1"/>
  <c r="A9" i="3" s="1"/>
  <c r="A10" i="3" s="1"/>
  <c r="A11" i="3" s="1"/>
  <c r="A12" i="3" s="1"/>
  <c r="N2" i="3"/>
  <c r="F11" i="3" l="1"/>
  <c r="H11" i="3"/>
  <c r="C10" i="3"/>
  <c r="H10" i="3" s="1"/>
  <c r="R11" i="3"/>
  <c r="Q11" i="3"/>
  <c r="G12" i="3"/>
  <c r="J12" i="3" s="1"/>
  <c r="K12" i="3"/>
  <c r="M12" i="3"/>
  <c r="D12" i="3"/>
  <c r="I11" i="3"/>
  <c r="K11" i="3"/>
  <c r="F10" i="3" l="1"/>
  <c r="Q10" i="3" s="1"/>
  <c r="C9" i="3"/>
  <c r="H9" i="3" s="1"/>
  <c r="G11" i="3"/>
  <c r="J11" i="3" s="1"/>
  <c r="O12" i="3"/>
  <c r="I12" i="3"/>
  <c r="M11" i="3" l="1"/>
  <c r="R10" i="3"/>
  <c r="O11" i="3"/>
  <c r="I10" i="3"/>
  <c r="F9" i="3"/>
  <c r="C8" i="3"/>
  <c r="H8" i="3" s="1"/>
  <c r="R9" i="3"/>
  <c r="D10" i="3"/>
  <c r="G10" i="3"/>
  <c r="J10" i="3" s="1"/>
  <c r="K10" i="3"/>
  <c r="D11" i="3"/>
  <c r="F8" i="3" l="1"/>
  <c r="O9" i="3" s="1"/>
  <c r="O10" i="3"/>
  <c r="M10" i="3"/>
  <c r="M9" i="3"/>
  <c r="Q9" i="3"/>
  <c r="C7" i="3"/>
  <c r="H7" i="3" s="1"/>
  <c r="R8" i="3"/>
  <c r="E12" i="3"/>
  <c r="G9" i="3"/>
  <c r="J9" i="3" s="1"/>
  <c r="K9" i="3"/>
  <c r="D9" i="3"/>
  <c r="E11" i="3" s="1"/>
  <c r="I9" i="3"/>
  <c r="F7" i="3" l="1"/>
  <c r="Q7" i="3" s="1"/>
  <c r="Q8" i="3"/>
  <c r="C6" i="3"/>
  <c r="H6" i="3" s="1"/>
  <c r="R7" i="3"/>
  <c r="G8" i="3"/>
  <c r="J8" i="3" s="1"/>
  <c r="K8" i="3"/>
  <c r="D8" i="3"/>
  <c r="E10" i="3" s="1"/>
  <c r="I8" i="3"/>
  <c r="M8" i="3" l="1"/>
  <c r="O8" i="3"/>
  <c r="F6" i="3"/>
  <c r="C5" i="3"/>
  <c r="H5" i="3" s="1"/>
  <c r="R6" i="3"/>
  <c r="G7" i="3"/>
  <c r="J7" i="3" s="1"/>
  <c r="D7" i="3"/>
  <c r="E9" i="3" s="1"/>
  <c r="K7" i="3"/>
  <c r="I7" i="3"/>
  <c r="M7" i="3" l="1"/>
  <c r="F5" i="3"/>
  <c r="Q6" i="3"/>
  <c r="O7" i="3"/>
  <c r="C4" i="3"/>
  <c r="H4" i="3" s="1"/>
  <c r="R5" i="3"/>
  <c r="D6" i="3"/>
  <c r="E8" i="3" s="1"/>
  <c r="G6" i="3"/>
  <c r="J6" i="3" s="1"/>
  <c r="K6" i="3"/>
  <c r="I6" i="3"/>
  <c r="F4" i="3" l="1"/>
  <c r="M5" i="3" s="1"/>
  <c r="Q5" i="3"/>
  <c r="M6" i="3"/>
  <c r="O6" i="3"/>
  <c r="C3" i="3"/>
  <c r="H3" i="3" s="1"/>
  <c r="R4" i="3"/>
  <c r="G5" i="3"/>
  <c r="J5" i="3" s="1"/>
  <c r="K5" i="3"/>
  <c r="D5" i="3"/>
  <c r="E7" i="3" s="1"/>
  <c r="I5" i="3"/>
  <c r="O5" i="3" l="1"/>
  <c r="F3" i="3"/>
  <c r="Q3" i="3" s="1"/>
  <c r="Q4" i="3"/>
  <c r="C2" i="3"/>
  <c r="R3" i="3"/>
  <c r="G4" i="3"/>
  <c r="J4" i="3" s="1"/>
  <c r="K4" i="3"/>
  <c r="I4" i="3"/>
  <c r="D4" i="3"/>
  <c r="E6" i="3" s="1"/>
  <c r="M4" i="3" l="1"/>
  <c r="O4" i="3"/>
  <c r="F2" i="3"/>
  <c r="N3" i="3" s="1"/>
  <c r="P3" i="3" s="1"/>
  <c r="H2" i="3"/>
  <c r="M2" i="3"/>
  <c r="O2" i="3"/>
  <c r="M3" i="3"/>
  <c r="O3" i="3"/>
  <c r="R2" i="3"/>
  <c r="Q2" i="3"/>
  <c r="G3" i="3"/>
  <c r="J3" i="3" s="1"/>
  <c r="K3" i="3"/>
  <c r="D3" i="3"/>
  <c r="E5" i="3" s="1"/>
  <c r="I3" i="3"/>
  <c r="G2" i="3" l="1"/>
  <c r="J2" i="3" s="1"/>
  <c r="K2" i="3"/>
  <c r="D2" i="3"/>
  <c r="N4" i="3" s="1"/>
  <c r="P4" i="3" s="1"/>
  <c r="P2" i="3"/>
  <c r="I2" i="3"/>
  <c r="N7" i="3" l="1"/>
  <c r="P7" i="3" s="1"/>
  <c r="N10" i="3"/>
  <c r="P10" i="3" s="1"/>
  <c r="N8" i="3" l="1"/>
  <c r="P8" i="3" s="1"/>
  <c r="N6" i="3"/>
  <c r="P6" i="3" s="1"/>
  <c r="N5" i="3"/>
  <c r="P5" i="3" s="1"/>
  <c r="N11" i="3"/>
  <c r="P11" i="3" s="1"/>
  <c r="N9" i="3"/>
  <c r="P9" i="3" s="1"/>
  <c r="N12" i="3"/>
  <c r="P12" i="3" s="1"/>
</calcChain>
</file>

<file path=xl/sharedStrings.xml><?xml version="1.0" encoding="utf-8"?>
<sst xmlns="http://schemas.openxmlformats.org/spreadsheetml/2006/main" count="42" uniqueCount="28">
  <si>
    <t>Fiscal_Year</t>
  </si>
  <si>
    <t>Description</t>
  </si>
  <si>
    <t>Net_Income</t>
  </si>
  <si>
    <t>Percent_Growth_of_Net_Income</t>
  </si>
  <si>
    <t>Avg_Percent_Growth_of_Net_Income</t>
  </si>
  <si>
    <t>Realized_Percent_Growth_of_Allocation</t>
  </si>
  <si>
    <t>Realized_Nominal_Growth_of_Allocation</t>
  </si>
  <si>
    <t>Realized_Nominal_Min_Growth_of_Allocation</t>
  </si>
  <si>
    <t>Realized_Nominal_Max_Growth_of_Allocation</t>
  </si>
  <si>
    <t>Realized</t>
  </si>
  <si>
    <t>Range</t>
  </si>
  <si>
    <t>Percent_Allocation</t>
  </si>
  <si>
    <t>Upper-Bound Allocation</t>
  </si>
  <si>
    <t>Targeted Allocation</t>
  </si>
  <si>
    <t>Lower-Bound Allocation</t>
  </si>
  <si>
    <t>FY 2026 Forecast</t>
  </si>
  <si>
    <t/>
  </si>
  <si>
    <t>Total_Allocation_to_Use</t>
  </si>
  <si>
    <t>Percent_Allocation_to_Use</t>
  </si>
  <si>
    <t>Total_Retention_by_Source</t>
  </si>
  <si>
    <t>Percent_Retention_by_Source</t>
  </si>
  <si>
    <t>Total_Contribution_to_Investments</t>
  </si>
  <si>
    <t>Percent_Contribution_to_Investments</t>
  </si>
  <si>
    <t>Uses_Growth</t>
  </si>
  <si>
    <t>Investments_Growth</t>
  </si>
  <si>
    <t>Anticipated_Percent_Growth_of_Allocation</t>
  </si>
  <si>
    <t>Anticipated_Nominal_Growth_of_Allocation</t>
  </si>
  <si>
    <t>Anticipated_Percent_Allocation_to_Use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</si>
</sst>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000%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164" fontId="4" fillId="3" borderId="0" xfId="1" applyNumberFormat="1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41" fontId="5" fillId="5" borderId="4" xfId="0" applyNumberFormat="1" applyFont="1" applyFill="1" applyBorder="1"/>
    <xf numFmtId="164" fontId="5" fillId="5" borderId="4" xfId="1" applyNumberFormat="1" applyFont="1" applyFill="1" applyBorder="1"/>
    <xf numFmtId="165" fontId="5" fillId="5" borderId="4" xfId="1" applyNumberFormat="1" applyFont="1" applyFill="1" applyBorder="1"/>
    <xf numFmtId="165" fontId="0" fillId="0" borderId="4" xfId="1" applyNumberFormat="1" applyFont="1" applyFill="1" applyBorder="1"/>
    <xf numFmtId="41" fontId="0" fillId="0" borderId="4" xfId="1" applyNumberFormat="1" applyFont="1" applyFill="1" applyBorder="1"/>
    <xf numFmtId="41" fontId="5" fillId="5" borderId="5" xfId="0" applyNumberFormat="1" applyFont="1" applyFill="1" applyBorder="1"/>
    <xf numFmtId="164" fontId="5" fillId="5" borderId="5" xfId="1" applyNumberFormat="1" applyFont="1" applyFill="1" applyBorder="1"/>
    <xf numFmtId="165" fontId="5" fillId="5" borderId="5" xfId="1" applyNumberFormat="1" applyFont="1" applyFill="1" applyBorder="1"/>
    <xf numFmtId="165" fontId="0" fillId="0" borderId="5" xfId="1" applyNumberFormat="1" applyFont="1" applyFill="1" applyBorder="1"/>
    <xf numFmtId="41" fontId="0" fillId="0" borderId="5" xfId="1" applyNumberFormat="1" applyFont="1" applyFill="1" applyBorder="1"/>
    <xf numFmtId="41" fontId="5" fillId="0" borderId="4" xfId="0" applyNumberFormat="1" applyFont="1" applyBorder="1"/>
    <xf numFmtId="0" fontId="6" fillId="4" borderId="0" xfId="0" applyFont="1" applyFill="1" applyAlignment="1">
      <alignment horizontal="center" wrapText="1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22"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</dxf>
    <dxf>
      <numFmt numFmtId="165" formatCode="0.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3743705557422"/>
        </left>
        <right/>
        <top style="thin">
          <color theme="4" tint="0.399914548173467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%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%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 tint="-0.149906918546098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0E6F06-A006-4E1E-BE51-AC3CEDFC7239}" name="Database8" displayName="Database8" ref="A1:T12" totalsRowShown="0" headerRowDxfId="21">
  <autoFilter ref="A1:T12" xr:uid="{DB0E6F06-A006-4E1E-BE51-AC3CEDFC7239}"/>
  <tableColumns count="20">
    <tableColumn id="1" xr3:uid="{1F5A7CAE-93FB-4FF1-8721-A6F940762D6F}" name="Fiscal_Year" dataDxfId="20"/>
    <tableColumn id="14" xr3:uid="{E7349CE0-1580-4E4A-A56F-84D4B117ED49}" name="Description" dataDxfId="19"/>
    <tableColumn id="2" xr3:uid="{BD067FCE-CA8F-469E-BF08-7CE7F52E8470}" name="Net_Income" dataDxfId="18"/>
    <tableColumn id="15" xr3:uid="{D59A669C-E520-4A90-846A-5FB673FE56BB}" name="Percent_Growth_of_Net_Income" dataDxfId="17" dataCellStyle="Percent">
      <calculatedColumnFormula>IFERROR(Database8[[#This Row],[Net_Income]] / C1 - 1, "")</calculatedColumnFormula>
    </tableColumn>
    <tableColumn id="16" xr3:uid="{15504850-27A6-44BB-A7B7-19C76A671FFA}" name="Avg_Percent_Growth_of_Net_Income" dataDxfId="16" dataCellStyle="Percent"/>
    <tableColumn id="11" xr3:uid="{A25ABFD9-0325-4CD6-BEF9-9B589B78C812}" name="Total_Allocation_to_Use" dataDxfId="15">
      <calculatedColumnFormula>C2 * S2</calculatedColumnFormula>
    </tableColumn>
    <tableColumn id="12" xr3:uid="{C8B08889-8D2E-4A31-8D22-03A10F096134}" name="Total_Retention_by_Source" dataDxfId="14">
      <calculatedColumnFormula>Database8[[#This Row],[Net_Income]] - Database8[[#This Row],[Total_Allocation_to_Use]] - Database8[[#This Row],[Total_Contribution_to_Investments]]</calculatedColumnFormula>
    </tableColumn>
    <tableColumn id="13" xr3:uid="{03723677-8458-49EB-BD31-09E91CFCD1C7}" name="Total_Contribution_to_Investments" dataDxfId="13">
      <calculatedColumnFormula>Database8[[#This Row],[Net_Income]] * T2</calculatedColumnFormula>
    </tableColumn>
    <tableColumn id="21" xr3:uid="{D17A4309-213D-4649-AF0C-06FDE853F589}" name="Percent_Allocation_to_Use" dataDxfId="12" dataCellStyle="Percent">
      <calculatedColumnFormula>Database8[[#This Row],[Total_Allocation_to_Use]] / Database8[[#This Row],[Net_Income]]</calculatedColumnFormula>
    </tableColumn>
    <tableColumn id="20" xr3:uid="{9CEAACC9-B68F-4DD1-B3DD-A27F1A70EA28}" name="Percent_Retention_by_Source" dataDxfId="11" dataCellStyle="Percent">
      <calculatedColumnFormula>Database8[[#This Row],[Total_Retention_by_Source]] / Database8[[#This Row],[Net_Income]]</calculatedColumnFormula>
    </tableColumn>
    <tableColumn id="19" xr3:uid="{81BE34F2-2EAA-4987-82FF-602AD8985338}" name="Percent_Contribution_to_Investments" dataDxfId="10" dataCellStyle="Percent">
      <calculatedColumnFormula>Database8[[#This Row],[Total_Contribution_to_Investments]] / Database8[[#This Row],[Net_Income]]</calculatedColumnFormula>
    </tableColumn>
    <tableColumn id="18" xr3:uid="{13B9820B-9D56-4535-8EA8-886D2D53599B}" name="Anticipated_Percent_Growth_of_Allocation" dataDxfId="9" dataCellStyle="Percent"/>
    <tableColumn id="22" xr3:uid="{2B0F3274-A40C-4C8B-8B7C-3771219B941C}" name="Realized_Percent_Growth_of_Allocation" dataDxfId="8" dataCellStyle="Percent">
      <calculatedColumnFormula>IFERROR(Database8[[#This Row],[Total_Allocation_to_Use]] / F1 - 1, "")</calculatedColumnFormula>
    </tableColumn>
    <tableColumn id="17" xr3:uid="{FBE46F52-BA66-40B8-8AF8-AF9447E8FF46}" name="Anticipated_Nominal_Growth_of_Allocation" dataDxfId="7" dataCellStyle="Percent">
      <calculatedColumnFormula>IFERROR(Database8[[#This Row],[Anticipated_Percent_Growth_of_Allocation]] * F1, "")</calculatedColumnFormula>
    </tableColumn>
    <tableColumn id="23" xr3:uid="{873D9FED-36F2-4D49-94D8-EABFECB814C1}" name="Realized_Nominal_Growth_of_Allocation" dataDxfId="6" dataCellStyle="Percent">
      <calculatedColumnFormula>IFERROR(Database8[[#This Row],[Total_Allocation_to_Use]] - F1, "")</calculatedColumnFormula>
    </tableColumn>
    <tableColumn id="26" xr3:uid="{7432E109-0FE5-40E6-A735-8EE061F56FB4}" name="Anticipated_Percent_Allocation_to_Use" dataDxfId="5" dataCellStyle="Percent">
      <calculatedColumnFormula>IFERROR(
    ( F1 + Database8[[#This Row],[Anticipated_Nominal_Growth_of_Allocation]] ) /  Database8[[#This Row],[Net_Income]],
"")</calculatedColumnFormula>
    </tableColumn>
    <tableColumn id="24" xr3:uid="{EE6C7A02-AFBE-4882-B476-FA3B0A274CA0}" name="Realized_Nominal_Min_Growth_of_Allocation" dataDxfId="4" dataCellStyle="Percent">
      <calculatedColumnFormula>IFERROR(Database8[[#This Row],[Net_Income]] * lowerBoundAllocation - $F2, "")</calculatedColumnFormula>
    </tableColumn>
    <tableColumn id="25" xr3:uid="{333629B8-6360-4A45-89C8-D0E5B7CFE2B1}" name="Realized_Nominal_Max_Growth_of_Allocation" dataDxfId="3" dataCellStyle="Percent">
      <calculatedColumnFormula>IFERROR(Database8[[#This Row],[Net_Income]] * upperBoundAllocation - $F2, "")</calculatedColumnFormula>
    </tableColumn>
    <tableColumn id="3" xr3:uid="{B0176048-594F-4A38-B55E-CB5DF11509B2}" name="Uses_Growth" dataDxfId="2" dataCellStyle="Percent">
      <calculatedColumnFormula>S1 * 1.1</calculatedColumnFormula>
    </tableColumn>
    <tableColumn id="4" xr3:uid="{6DDB3453-DE5D-4CAA-9FA2-4A5D002A11BC}" name="Investments_Growth" dataDxfId="1" dataCellStyle="Perc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33F58-24A9-471D-9488-624D04D52E7B}" name="General_Allocation_Ranges___Tribal_Govt" displayName="General_Allocation_Ranges___Tribal_Govt" ref="A1:B4" totalsRowShown="0" headerRowDxfId="0">
  <autoFilter ref="A1:B4" xr:uid="{F5E33F58-24A9-471D-9488-624D04D52E7B}"/>
  <tableColumns count="2">
    <tableColumn id="1" xr3:uid="{25491760-D77C-4C4D-975C-2306C5049A79}" name="Range"/>
    <tableColumn id="2" xr3:uid="{4502EF45-7D31-4E04-B056-F3F8528B7C92}" name="Percent_Allo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DBC-Styles">
  <a:themeElements>
    <a:clrScheme name="DBC-Style">
      <a:dk1>
        <a:srgbClr val="444444"/>
      </a:dk1>
      <a:lt1>
        <a:srgbClr val="FAFAFA"/>
      </a:lt1>
      <a:dk2>
        <a:srgbClr val="3F4953"/>
      </a:dk2>
      <a:lt2>
        <a:srgbClr val="EAEAEA"/>
      </a:lt2>
      <a:accent1>
        <a:srgbClr val="BECDE0"/>
      </a:accent1>
      <a:accent2>
        <a:srgbClr val="FFD597"/>
      </a:accent2>
      <a:accent3>
        <a:srgbClr val="F6B7B4"/>
      </a:accent3>
      <a:accent4>
        <a:srgbClr val="BEE0D2"/>
      </a:accent4>
      <a:accent5>
        <a:srgbClr val="E4C6DC"/>
      </a:accent5>
      <a:accent6>
        <a:srgbClr val="BDDBE1"/>
      </a:accent6>
      <a:hlink>
        <a:srgbClr val="6388B4"/>
      </a:hlink>
      <a:folHlink>
        <a:srgbClr val="BECDE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374E-8CE1-4146-8512-5A65ED7E2681}">
  <dimension ref="A1:T12"/>
  <sheetViews>
    <sheetView tabSelected="1" workbookViewId="0">
      <selection activeCell="K16" sqref="K16"/>
    </sheetView>
  </sheetViews>
  <sheetFormatPr defaultRowHeight="15" x14ac:dyDescent="0.25"/>
  <cols>
    <col min="1" max="18" width="13.7109375" customWidth="1"/>
  </cols>
  <sheetData>
    <row r="1" spans="1:20" s="1" customFormat="1" ht="60" x14ac:dyDescent="0.25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17</v>
      </c>
      <c r="G1" s="7" t="s">
        <v>19</v>
      </c>
      <c r="H1" s="8" t="s">
        <v>21</v>
      </c>
      <c r="I1" s="9" t="s">
        <v>18</v>
      </c>
      <c r="J1" s="7" t="s">
        <v>20</v>
      </c>
      <c r="K1" s="7" t="s">
        <v>22</v>
      </c>
      <c r="L1" s="4" t="s">
        <v>25</v>
      </c>
      <c r="M1" s="4" t="s">
        <v>5</v>
      </c>
      <c r="N1" s="4" t="s">
        <v>26</v>
      </c>
      <c r="O1" s="4" t="s">
        <v>6</v>
      </c>
      <c r="P1" s="7" t="s">
        <v>27</v>
      </c>
      <c r="Q1" s="4" t="s">
        <v>7</v>
      </c>
      <c r="R1" s="4" t="s">
        <v>8</v>
      </c>
      <c r="S1" s="23" t="s">
        <v>23</v>
      </c>
      <c r="T1" s="23" t="s">
        <v>24</v>
      </c>
    </row>
    <row r="2" spans="1:20" x14ac:dyDescent="0.25">
      <c r="A2" s="10">
        <v>2016</v>
      </c>
      <c r="B2" s="11" t="s">
        <v>9</v>
      </c>
      <c r="C2" s="17">
        <f t="shared" ref="C2:C10" ca="1" si="0">C3 * RANDBETWEEN(900, 1010) * 0.001</f>
        <v>55145550.538293973</v>
      </c>
      <c r="D2" s="13" t="str">
        <f ca="1">IFERROR(Database8[[#This Row],[Net_Income]] / C1 - 1, "")</f>
        <v/>
      </c>
      <c r="E2" s="13" t="s">
        <v>16</v>
      </c>
      <c r="F2" s="22">
        <f t="shared" ref="F2:F12" ca="1" si="1">C2 * S2</f>
        <v>16543665.16148819</v>
      </c>
      <c r="G2" s="12">
        <f ca="1">Database8[[#This Row],[Net_Income]] - Database8[[#This Row],[Total_Allocation_to_Use]] - Database8[[#This Row],[Total_Contribution_to_Investments]]</f>
        <v>22058220.215317592</v>
      </c>
      <c r="H2" s="12">
        <f ca="1">Database8[[#This Row],[Net_Income]] * T2</f>
        <v>16543665.16148819</v>
      </c>
      <c r="I2" s="14">
        <f ca="1">Database8[[#This Row],[Total_Allocation_to_Use]] / Database8[[#This Row],[Net_Income]]</f>
        <v>0.3</v>
      </c>
      <c r="J2" s="14">
        <f ca="1">Database8[[#This Row],[Total_Retention_by_Source]] / Database8[[#This Row],[Net_Income]]</f>
        <v>0.40000000000000008</v>
      </c>
      <c r="K2" s="14">
        <f ca="1">Database8[[#This Row],[Total_Contribution_to_Investments]] / Database8[[#This Row],[Net_Income]]</f>
        <v>0.3</v>
      </c>
      <c r="L2" s="15" t="s">
        <v>16</v>
      </c>
      <c r="M2" s="15" t="str">
        <f ca="1">IFERROR(Database8[[#This Row],[Total_Allocation_to_Use]] / F1 - 1, "")</f>
        <v/>
      </c>
      <c r="N2" s="16" t="str">
        <f>IFERROR(Database8[[#This Row],[Anticipated_Percent_Growth_of_Allocation]] * F1, "")</f>
        <v/>
      </c>
      <c r="O2" s="16" t="str">
        <f ca="1">IFERROR(Database8[[#This Row],[Total_Allocation_to_Use]] - F1, "")</f>
        <v/>
      </c>
      <c r="P2" s="14" t="str">
        <f ca="1">IFERROR(
    ( F1 + Database8[[#This Row],[Anticipated_Nominal_Growth_of_Allocation]] ) /  Database8[[#This Row],[Net_Income]],
"")</f>
        <v/>
      </c>
      <c r="Q2" s="16">
        <f ca="1">IFERROR(Database8[[#This Row],[Net_Income]] * lowerBoundAllocation - $F2, "")</f>
        <v>0</v>
      </c>
      <c r="R2" s="16">
        <f ca="1">IFERROR(Database8[[#This Row],[Net_Income]] * upperBoundAllocation - $F2, "")</f>
        <v>16543665.16148819</v>
      </c>
      <c r="S2" s="24">
        <f>lowerBoundAllocation</f>
        <v>0.3</v>
      </c>
      <c r="T2" s="24">
        <v>0.3</v>
      </c>
    </row>
    <row r="3" spans="1:20" x14ac:dyDescent="0.25">
      <c r="A3" s="10">
        <f t="shared" ref="A3:A12" si="2">A2 + 1</f>
        <v>2017</v>
      </c>
      <c r="B3" s="11" t="s">
        <v>9</v>
      </c>
      <c r="C3" s="17">
        <f t="shared" ca="1" si="0"/>
        <v>58916186.472536288</v>
      </c>
      <c r="D3" s="18">
        <f ca="1">IFERROR(Database8[[#This Row],[Net_Income]] / C2 - 1, "")</f>
        <v>6.8376068376068133E-2</v>
      </c>
      <c r="E3" s="18" t="s">
        <v>16</v>
      </c>
      <c r="F3" s="22">
        <f t="shared" ca="1" si="1"/>
        <v>19442341.535936978</v>
      </c>
      <c r="G3" s="12">
        <f ca="1">Database8[[#This Row],[Net_Income]] - Database8[[#This Row],[Total_Allocation_to_Use]] - Database8[[#This Row],[Total_Contribution_to_Investments]]</f>
        <v>21798988.994838428</v>
      </c>
      <c r="H3" s="12">
        <f ca="1">Database8[[#This Row],[Net_Income]] * T3</f>
        <v>17674855.941760886</v>
      </c>
      <c r="I3" s="19">
        <f ca="1">Database8[[#This Row],[Total_Allocation_to_Use]] / Database8[[#This Row],[Net_Income]]</f>
        <v>0.33000000000000007</v>
      </c>
      <c r="J3" s="19">
        <f ca="1">Database8[[#This Row],[Total_Retention_by_Source]] / Database8[[#This Row],[Net_Income]]</f>
        <v>0.37</v>
      </c>
      <c r="K3" s="14">
        <f ca="1">Database8[[#This Row],[Total_Contribution_to_Investments]] / Database8[[#This Row],[Net_Income]]</f>
        <v>0.3</v>
      </c>
      <c r="L3" s="20" t="s">
        <v>16</v>
      </c>
      <c r="M3" s="20">
        <f ca="1">IFERROR(Database8[[#This Row],[Total_Allocation_to_Use]] / F2 - 1, "")</f>
        <v>0.17521367521367526</v>
      </c>
      <c r="N3" s="21" t="str">
        <f ca="1">IFERROR(Database8[[#This Row],[Anticipated_Percent_Growth_of_Allocation]] * F2, "")</f>
        <v/>
      </c>
      <c r="O3" s="21">
        <f ca="1">IFERROR(Database8[[#This Row],[Total_Allocation_to_Use]] - F2, "")</f>
        <v>2898676.3744487874</v>
      </c>
      <c r="P3" s="19" t="str">
        <f ca="1">IFERROR(
    ( F2 + Database8[[#This Row],[Anticipated_Nominal_Growth_of_Allocation]] ) /  Database8[[#This Row],[Net_Income]],
"")</f>
        <v/>
      </c>
      <c r="Q3" s="16">
        <f ca="1">IFERROR(Database8[[#This Row],[Net_Income]] * lowerBoundAllocation - $F3, "")</f>
        <v>-1767485.5941760913</v>
      </c>
      <c r="R3" s="16">
        <f ca="1">IFERROR(Database8[[#This Row],[Net_Income]] * upperBoundAllocation - $F3, "")</f>
        <v>15907370.347584795</v>
      </c>
      <c r="S3" s="24">
        <f>S2 * 1.1</f>
        <v>0.33</v>
      </c>
      <c r="T3" s="24">
        <v>0.3</v>
      </c>
    </row>
    <row r="4" spans="1:20" x14ac:dyDescent="0.25">
      <c r="A4" s="10">
        <f t="shared" si="2"/>
        <v>2018</v>
      </c>
      <c r="B4" s="11" t="s">
        <v>9</v>
      </c>
      <c r="C4" s="17">
        <f t="shared" ca="1" si="0"/>
        <v>60241499.460671052</v>
      </c>
      <c r="D4" s="18">
        <f ca="1">IFERROR(Database8[[#This Row],[Net_Income]] / C3 - 1, "")</f>
        <v>2.249488752556239E-2</v>
      </c>
      <c r="E4" s="18" t="s">
        <v>16</v>
      </c>
      <c r="F4" s="22">
        <f t="shared" ca="1" si="1"/>
        <v>21867664.304223593</v>
      </c>
      <c r="G4" s="12">
        <f ca="1">Database8[[#This Row],[Net_Income]] - Database8[[#This Row],[Total_Allocation_to_Use]] - Database8[[#This Row],[Total_Contribution_to_Investments]]</f>
        <v>20301385.318246141</v>
      </c>
      <c r="H4" s="12">
        <f ca="1">Database8[[#This Row],[Net_Income]] * T4</f>
        <v>18072449.838201314</v>
      </c>
      <c r="I4" s="19">
        <f ca="1">Database8[[#This Row],[Total_Allocation_to_Use]] / Database8[[#This Row],[Net_Income]]</f>
        <v>0.36300000000000004</v>
      </c>
      <c r="J4" s="19">
        <f ca="1">Database8[[#This Row],[Total_Retention_by_Source]] / Database8[[#This Row],[Net_Income]]</f>
        <v>0.33699999999999997</v>
      </c>
      <c r="K4" s="14">
        <f ca="1">Database8[[#This Row],[Total_Contribution_to_Investments]] / Database8[[#This Row],[Net_Income]]</f>
        <v>0.3</v>
      </c>
      <c r="L4" s="20" t="s">
        <v>16</v>
      </c>
      <c r="M4" s="20">
        <f ca="1">IFERROR(Database8[[#This Row],[Total_Allocation_to_Use]] / F3 - 1, "")</f>
        <v>0.12474437627811863</v>
      </c>
      <c r="N4" s="21" t="str">
        <f ca="1">IFERROR(Database8[[#This Row],[Anticipated_Percent_Growth_of_Allocation]] * F3, "")</f>
        <v/>
      </c>
      <c r="O4" s="21">
        <f ca="1">IFERROR(Database8[[#This Row],[Total_Allocation_to_Use]] - F3, "")</f>
        <v>2425322.7682866156</v>
      </c>
      <c r="P4" s="19" t="str">
        <f ca="1">IFERROR(
    ( F3 + Database8[[#This Row],[Anticipated_Nominal_Growth_of_Allocation]] ) /  Database8[[#This Row],[Net_Income]],
"")</f>
        <v/>
      </c>
      <c r="Q4" s="16">
        <f ca="1">IFERROR(Database8[[#This Row],[Net_Income]] * lowerBoundAllocation - $F4, "")</f>
        <v>-3795214.4660222791</v>
      </c>
      <c r="R4" s="16">
        <f ca="1">IFERROR(Database8[[#This Row],[Net_Income]] * upperBoundAllocation - $F4, "")</f>
        <v>14277235.372179035</v>
      </c>
      <c r="S4" s="24">
        <f t="shared" ref="S4:S12" si="3">S3 * 1.1</f>
        <v>0.36300000000000004</v>
      </c>
      <c r="T4" s="24">
        <v>0.3</v>
      </c>
    </row>
    <row r="5" spans="1:20" x14ac:dyDescent="0.25">
      <c r="A5" s="10">
        <f t="shared" si="2"/>
        <v>2019</v>
      </c>
      <c r="B5" s="11" t="s">
        <v>9</v>
      </c>
      <c r="C5" s="17">
        <f t="shared" ca="1" si="0"/>
        <v>65196427.987739235</v>
      </c>
      <c r="D5" s="18">
        <f ca="1">IFERROR(Database8[[#This Row],[Net_Income]] / C4 - 1, "")</f>
        <v>8.2251082251082241E-2</v>
      </c>
      <c r="E5" s="18">
        <f t="shared" ref="E5:E12" ca="1" si="4">AVERAGE(D3:D5)</f>
        <v>5.7707346050904253E-2</v>
      </c>
      <c r="F5" s="22">
        <f t="shared" ca="1" si="1"/>
        <v>26032933.695504282</v>
      </c>
      <c r="G5" s="12">
        <f ca="1">Database8[[#This Row],[Net_Income]] - Database8[[#This Row],[Total_Allocation_to_Use]] - Database8[[#This Row],[Total_Contribution_to_Investments]]</f>
        <v>19604565.895913187</v>
      </c>
      <c r="H5" s="12">
        <f ca="1">Database8[[#This Row],[Net_Income]] * T5</f>
        <v>19558928.39632177</v>
      </c>
      <c r="I5" s="19">
        <f ca="1">Database8[[#This Row],[Total_Allocation_to_Use]] / Database8[[#This Row],[Net_Income]]</f>
        <v>0.3993000000000001</v>
      </c>
      <c r="J5" s="19">
        <f ca="1">Database8[[#This Row],[Total_Retention_by_Source]] / Database8[[#This Row],[Net_Income]]</f>
        <v>0.30069999999999997</v>
      </c>
      <c r="K5" s="14">
        <f ca="1">Database8[[#This Row],[Total_Contribution_to_Investments]] / Database8[[#This Row],[Net_Income]]</f>
        <v>0.3</v>
      </c>
      <c r="L5" s="20">
        <v>3.9000000000000003E-3</v>
      </c>
      <c r="M5" s="20">
        <f ca="1">IFERROR(Database8[[#This Row],[Total_Allocation_to_Use]] / F4 - 1, "")</f>
        <v>0.19047619047619069</v>
      </c>
      <c r="N5" s="21">
        <f ca="1">IFERROR(Database8[[#This Row],[Anticipated_Percent_Growth_of_Allocation]] * F4, "")</f>
        <v>85283.890786472024</v>
      </c>
      <c r="O5" s="21">
        <f ca="1">IFERROR(Database8[[#This Row],[Total_Allocation_to_Use]] - F4, "")</f>
        <v>4165269.3912806883</v>
      </c>
      <c r="P5" s="19">
        <f ca="1">IFERROR(
    ( F4 + Database8[[#This Row],[Anticipated_Nominal_Growth_of_Allocation]] ) /  Database8[[#This Row],[Net_Income]],
"")</f>
        <v>0.33672010680000003</v>
      </c>
      <c r="Q5" s="16">
        <f ca="1">IFERROR(Database8[[#This Row],[Net_Income]] * lowerBoundAllocation - $F5, "")</f>
        <v>-6474005.2991825119</v>
      </c>
      <c r="R5" s="16">
        <f ca="1">IFERROR(Database8[[#This Row],[Net_Income]] * upperBoundAllocation - $F5, "")</f>
        <v>13084923.097139258</v>
      </c>
      <c r="S5" s="24">
        <f t="shared" si="3"/>
        <v>0.3993000000000001</v>
      </c>
      <c r="T5" s="24">
        <v>0.3</v>
      </c>
    </row>
    <row r="6" spans="1:20" x14ac:dyDescent="0.25">
      <c r="A6" s="10">
        <f t="shared" si="2"/>
        <v>2020</v>
      </c>
      <c r="B6" s="11" t="s">
        <v>9</v>
      </c>
      <c r="C6" s="17">
        <f t="shared" ca="1" si="0"/>
        <v>68197100.405584976</v>
      </c>
      <c r="D6" s="18">
        <f ca="1">IFERROR(Database8[[#This Row],[Net_Income]] / C5 - 1, "")</f>
        <v>4.6025104602510414E-2</v>
      </c>
      <c r="E6" s="18">
        <f t="shared" ca="1" si="4"/>
        <v>5.0257024793051684E-2</v>
      </c>
      <c r="F6" s="22">
        <f t="shared" ca="1" si="1"/>
        <v>29954212.411145099</v>
      </c>
      <c r="G6" s="12">
        <f ca="1">Database8[[#This Row],[Net_Income]] - Database8[[#This Row],[Total_Allocation_to_Use]] - Database8[[#This Row],[Total_Contribution_to_Investments]]</f>
        <v>17783757.872764386</v>
      </c>
      <c r="H6" s="12">
        <f ca="1">Database8[[#This Row],[Net_Income]] * T6</f>
        <v>20459130.121675491</v>
      </c>
      <c r="I6" s="19">
        <f ca="1">Database8[[#This Row],[Total_Allocation_to_Use]] / Database8[[#This Row],[Net_Income]]</f>
        <v>0.43923000000000012</v>
      </c>
      <c r="J6" s="19">
        <f ca="1">Database8[[#This Row],[Total_Retention_by_Source]] / Database8[[#This Row],[Net_Income]]</f>
        <v>0.26076999999999989</v>
      </c>
      <c r="K6" s="14">
        <f ca="1">Database8[[#This Row],[Total_Contribution_to_Investments]] / Database8[[#This Row],[Net_Income]]</f>
        <v>0.3</v>
      </c>
      <c r="L6" s="20">
        <v>7.8899999999999998E-2</v>
      </c>
      <c r="M6" s="20">
        <f ca="1">IFERROR(Database8[[#This Row],[Total_Allocation_to_Use]] / F5 - 1, "")</f>
        <v>0.15062761506276168</v>
      </c>
      <c r="N6" s="21">
        <f ca="1">IFERROR(Database8[[#This Row],[Anticipated_Percent_Growth_of_Allocation]] * F5, "")</f>
        <v>2053998.4685752878</v>
      </c>
      <c r="O6" s="21">
        <f ca="1">IFERROR(Database8[[#This Row],[Total_Allocation_to_Use]] - F5, "")</f>
        <v>3921278.7156408168</v>
      </c>
      <c r="P6" s="19">
        <f ca="1">IFERROR(
    ( F5 + Database8[[#This Row],[Anticipated_Nominal_Growth_of_Allocation]] ) /  Database8[[#This Row],[Net_Income]],
"")</f>
        <v>0.41184936012000006</v>
      </c>
      <c r="Q6" s="16">
        <f ca="1">IFERROR(Database8[[#This Row],[Net_Income]] * lowerBoundAllocation - $F6, "")</f>
        <v>-9495082.2894696072</v>
      </c>
      <c r="R6" s="16">
        <f ca="1">IFERROR(Database8[[#This Row],[Net_Income]] * upperBoundAllocation - $F6, "")</f>
        <v>10964047.832205884</v>
      </c>
      <c r="S6" s="24">
        <f t="shared" si="3"/>
        <v>0.43923000000000012</v>
      </c>
      <c r="T6" s="24">
        <v>0.3</v>
      </c>
    </row>
    <row r="7" spans="1:20" x14ac:dyDescent="0.25">
      <c r="A7" s="10">
        <f t="shared" si="2"/>
        <v>2021</v>
      </c>
      <c r="B7" s="11" t="s">
        <v>9</v>
      </c>
      <c r="C7" s="17">
        <f t="shared" ca="1" si="0"/>
        <v>69447149.089190394</v>
      </c>
      <c r="D7" s="18">
        <f ca="1">IFERROR(Database8[[#This Row],[Net_Income]] / C6 - 1, "")</f>
        <v>1.8329938900203624E-2</v>
      </c>
      <c r="E7" s="18">
        <f t="shared" ca="1" si="4"/>
        <v>4.8868708584598762E-2</v>
      </c>
      <c r="F7" s="22">
        <f t="shared" ca="1" si="1"/>
        <v>33553598.423889618</v>
      </c>
      <c r="G7" s="12">
        <f ca="1">Database8[[#This Row],[Net_Income]] - Database8[[#This Row],[Total_Allocation_to_Use]] - Database8[[#This Row],[Total_Contribution_to_Investments]]</f>
        <v>15059405.938543655</v>
      </c>
      <c r="H7" s="12">
        <f ca="1">Database8[[#This Row],[Net_Income]] * T7</f>
        <v>20834144.726757117</v>
      </c>
      <c r="I7" s="19">
        <f ca="1">Database8[[#This Row],[Total_Allocation_to_Use]] / Database8[[#This Row],[Net_Income]]</f>
        <v>0.48315300000000017</v>
      </c>
      <c r="J7" s="19">
        <f ca="1">Database8[[#This Row],[Total_Retention_by_Source]] / Database8[[#This Row],[Net_Income]]</f>
        <v>0.21684699999999979</v>
      </c>
      <c r="K7" s="14">
        <f ca="1">Database8[[#This Row],[Total_Contribution_to_Investments]] / Database8[[#This Row],[Net_Income]]</f>
        <v>0.3</v>
      </c>
      <c r="L7" s="20">
        <v>3.39E-2</v>
      </c>
      <c r="M7" s="20">
        <f ca="1">IFERROR(Database8[[#This Row],[Total_Allocation_to_Use]] / F6 - 1, "")</f>
        <v>0.12016293279022383</v>
      </c>
      <c r="N7" s="21">
        <f ca="1">IFERROR(Database8[[#This Row],[Anticipated_Percent_Growth_of_Allocation]] * F6, "")</f>
        <v>1015447.8007378188</v>
      </c>
      <c r="O7" s="21">
        <f ca="1">IFERROR(Database8[[#This Row],[Total_Allocation_to_Use]] - F6, "")</f>
        <v>3599386.0127445199</v>
      </c>
      <c r="P7" s="19">
        <f ca="1">IFERROR(
    ( F6 + Database8[[#This Row],[Anticipated_Nominal_Growth_of_Allocation]] ) /  Database8[[#This Row],[Net_Income]],
"")</f>
        <v>0.44594573885400024</v>
      </c>
      <c r="Q7" s="16">
        <f ca="1">IFERROR(Database8[[#This Row],[Net_Income]] * lowerBoundAllocation - $F7, "")</f>
        <v>-12719453.697132502</v>
      </c>
      <c r="R7" s="16">
        <f ca="1">IFERROR(Database8[[#This Row],[Net_Income]] * upperBoundAllocation - $F7, "")</f>
        <v>8114691.0296246149</v>
      </c>
      <c r="S7" s="24">
        <f t="shared" si="3"/>
        <v>0.48315300000000017</v>
      </c>
      <c r="T7" s="24">
        <v>0.3</v>
      </c>
    </row>
    <row r="8" spans="1:20" x14ac:dyDescent="0.25">
      <c r="A8" s="10">
        <f t="shared" si="2"/>
        <v>2022</v>
      </c>
      <c r="B8" s="11" t="s">
        <v>9</v>
      </c>
      <c r="C8" s="17">
        <f t="shared" ca="1" si="0"/>
        <v>76652482.4384</v>
      </c>
      <c r="D8" s="18">
        <f ca="1">IFERROR(Database8[[#This Row],[Net_Income]] / C7 - 1, "")</f>
        <v>0.10375275938189854</v>
      </c>
      <c r="E8" s="18">
        <f t="shared" ca="1" si="4"/>
        <v>5.6035934294870859E-2</v>
      </c>
      <c r="F8" s="22">
        <f t="shared" ca="1" si="1"/>
        <v>40738364.53231632</v>
      </c>
      <c r="G8" s="12">
        <f ca="1">Database8[[#This Row],[Net_Income]] - Database8[[#This Row],[Total_Allocation_to_Use]] - Database8[[#This Row],[Total_Contribution_to_Investments]]</f>
        <v>12918373.17456368</v>
      </c>
      <c r="H8" s="12">
        <f ca="1">Database8[[#This Row],[Net_Income]] * T8</f>
        <v>22995744.731520001</v>
      </c>
      <c r="I8" s="19">
        <f ca="1">Database8[[#This Row],[Total_Allocation_to_Use]] / Database8[[#This Row],[Net_Income]]</f>
        <v>0.53146830000000023</v>
      </c>
      <c r="J8" s="19">
        <f ca="1">Database8[[#This Row],[Total_Retention_by_Source]] / Database8[[#This Row],[Net_Income]]</f>
        <v>0.16853169999999978</v>
      </c>
      <c r="K8" s="14">
        <f ca="1">Database8[[#This Row],[Total_Contribution_to_Investments]] / Database8[[#This Row],[Net_Income]]</f>
        <v>0.3</v>
      </c>
      <c r="L8" s="20">
        <v>1.06E-2</v>
      </c>
      <c r="M8" s="20">
        <f ca="1">IFERROR(Database8[[#This Row],[Total_Allocation_to_Use]] / F7 - 1, "")</f>
        <v>0.21412803532008851</v>
      </c>
      <c r="N8" s="21">
        <f ca="1">IFERROR(Database8[[#This Row],[Anticipated_Percent_Growth_of_Allocation]] * F7, "")</f>
        <v>355668.14329322998</v>
      </c>
      <c r="O8" s="21">
        <f ca="1">IFERROR(Database8[[#This Row],[Total_Allocation_to_Use]] - F7, "")</f>
        <v>7184766.1084267013</v>
      </c>
      <c r="P8" s="19">
        <f ca="1">IFERROR(
    ( F7 + Database8[[#This Row],[Anticipated_Nominal_Growth_of_Allocation]] ) /  Database8[[#This Row],[Net_Income]],
"")</f>
        <v>0.44237662615080009</v>
      </c>
      <c r="Q8" s="16">
        <f ca="1">IFERROR(Database8[[#This Row],[Net_Income]] * lowerBoundAllocation - $F8, "")</f>
        <v>-17742619.800796319</v>
      </c>
      <c r="R8" s="16">
        <f ca="1">IFERROR(Database8[[#This Row],[Net_Income]] * upperBoundAllocation - $F8, "")</f>
        <v>5253124.930723682</v>
      </c>
      <c r="S8" s="24">
        <f t="shared" si="3"/>
        <v>0.53146830000000023</v>
      </c>
      <c r="T8" s="24">
        <v>0.3</v>
      </c>
    </row>
    <row r="9" spans="1:20" x14ac:dyDescent="0.25">
      <c r="A9" s="10">
        <f t="shared" si="2"/>
        <v>2023</v>
      </c>
      <c r="B9" s="11" t="s">
        <v>9</v>
      </c>
      <c r="C9" s="17">
        <f t="shared" ca="1" si="0"/>
        <v>76423212.799999997</v>
      </c>
      <c r="D9" s="18">
        <f ca="1">IFERROR(Database8[[#This Row],[Net_Income]] / C8 - 1, "")</f>
        <v>-2.9910269192423566E-3</v>
      </c>
      <c r="E9" s="18">
        <f t="shared" ca="1" si="4"/>
        <v>3.9697223787619938E-2</v>
      </c>
      <c r="F9" s="22">
        <f t="shared" ca="1" si="1"/>
        <v>44678166.486089684</v>
      </c>
      <c r="G9" s="12">
        <f ca="1">Database8[[#This Row],[Net_Income]] - Database8[[#This Row],[Total_Allocation_to_Use]] - Database8[[#This Row],[Total_Contribution_to_Investments]]</f>
        <v>8818082.4739103131</v>
      </c>
      <c r="H9" s="12">
        <f ca="1">Database8[[#This Row],[Net_Income]] * T9</f>
        <v>22926963.84</v>
      </c>
      <c r="I9" s="19">
        <f ca="1">Database8[[#This Row],[Total_Allocation_to_Use]] / Database8[[#This Row],[Net_Income]]</f>
        <v>0.58461513000000032</v>
      </c>
      <c r="J9" s="19">
        <f ca="1">Database8[[#This Row],[Total_Retention_by_Source]] / Database8[[#This Row],[Net_Income]]</f>
        <v>0.11538486999999971</v>
      </c>
      <c r="K9" s="14">
        <f ca="1">Database8[[#This Row],[Total_Contribution_to_Investments]] / Database8[[#This Row],[Net_Income]]</f>
        <v>0.3</v>
      </c>
      <c r="L9" s="20">
        <v>1.84E-2</v>
      </c>
      <c r="M9" s="20">
        <f ca="1">IFERROR(Database8[[#This Row],[Total_Allocation_to_Use]] / F8 - 1, "")</f>
        <v>9.6709870388833608E-2</v>
      </c>
      <c r="N9" s="21">
        <f ca="1">IFERROR(Database8[[#This Row],[Anticipated_Percent_Growth_of_Allocation]] * F8, "")</f>
        <v>749585.90739462024</v>
      </c>
      <c r="O9" s="21">
        <f ca="1">IFERROR(Database8[[#This Row],[Total_Allocation_to_Use]] - F8, "")</f>
        <v>3939801.9537733644</v>
      </c>
      <c r="P9" s="19">
        <f ca="1">IFERROR(
    ( F8 + Database8[[#This Row],[Anticipated_Nominal_Growth_of_Allocation]] ) /  Database8[[#This Row],[Net_Income]],
"")</f>
        <v>0.54287105867016017</v>
      </c>
      <c r="Q9" s="16">
        <f ca="1">IFERROR(Database8[[#This Row],[Net_Income]] * lowerBoundAllocation - $F9, "")</f>
        <v>-21751202.646089684</v>
      </c>
      <c r="R9" s="16">
        <f ca="1">IFERROR(Database8[[#This Row],[Net_Income]] * upperBoundAllocation - $F9, "")</f>
        <v>1175761.1939103156</v>
      </c>
      <c r="S9" s="24">
        <f t="shared" si="3"/>
        <v>0.58461513000000032</v>
      </c>
      <c r="T9" s="24">
        <v>0.3</v>
      </c>
    </row>
    <row r="10" spans="1:20" x14ac:dyDescent="0.25">
      <c r="A10" s="10">
        <f t="shared" si="2"/>
        <v>2024</v>
      </c>
      <c r="B10" s="11" t="s">
        <v>9</v>
      </c>
      <c r="C10" s="17">
        <f t="shared" ca="1" si="0"/>
        <v>82352600</v>
      </c>
      <c r="D10" s="18">
        <f ca="1">IFERROR(Database8[[#This Row],[Net_Income]] / C9 - 1, "")</f>
        <v>7.7586206896551824E-2</v>
      </c>
      <c r="E10" s="18">
        <f t="shared" ca="1" si="4"/>
        <v>5.9449313119736003E-2</v>
      </c>
      <c r="F10" s="22">
        <f t="shared" ca="1" si="1"/>
        <v>52959033.55032184</v>
      </c>
      <c r="G10" s="12">
        <f ca="1">Database8[[#This Row],[Net_Income]] - Database8[[#This Row],[Total_Allocation_to_Use]] - Database8[[#This Row],[Total_Contribution_to_Investments]]</f>
        <v>8805416.4496781603</v>
      </c>
      <c r="H10" s="12">
        <f ca="1">Database8[[#This Row],[Net_Income]] * T10</f>
        <v>20588150</v>
      </c>
      <c r="I10" s="19">
        <f ca="1">Database8[[#This Row],[Total_Allocation_to_Use]] / Database8[[#This Row],[Net_Income]]</f>
        <v>0.64307664300000045</v>
      </c>
      <c r="J10" s="19">
        <f ca="1">Database8[[#This Row],[Total_Retention_by_Source]] / Database8[[#This Row],[Net_Income]]</f>
        <v>0.10692335699999951</v>
      </c>
      <c r="K10" s="14">
        <f ca="1">Database8[[#This Row],[Total_Contribution_to_Investments]] / Database8[[#This Row],[Net_Income]]</f>
        <v>0.25</v>
      </c>
      <c r="L10" s="20">
        <v>4.5999999999999999E-2</v>
      </c>
      <c r="M10" s="20">
        <f ca="1">IFERROR(Database8[[#This Row],[Total_Allocation_to_Use]] / F9 - 1, "")</f>
        <v>0.18534482758620729</v>
      </c>
      <c r="N10" s="21">
        <f ca="1">IFERROR(Database8[[#This Row],[Anticipated_Percent_Growth_of_Allocation]] * F9, "")</f>
        <v>2055195.6583601255</v>
      </c>
      <c r="O10" s="21">
        <f ca="1">IFERROR(Database8[[#This Row],[Total_Allocation_to_Use]] - F9, "")</f>
        <v>8280867.0642321557</v>
      </c>
      <c r="P10" s="19">
        <f ca="1">IFERROR(
    ( F9 + Database8[[#This Row],[Anticipated_Nominal_Growth_of_Allocation]] ) /  Database8[[#This Row],[Net_Income]],
"")</f>
        <v>0.56747889130944018</v>
      </c>
      <c r="Q10" s="16">
        <f ca="1">IFERROR(Database8[[#This Row],[Net_Income]] * lowerBoundAllocation - $F10, "")</f>
        <v>-28253253.55032184</v>
      </c>
      <c r="R10" s="16">
        <f ca="1">IFERROR(Database8[[#This Row],[Net_Income]] * upperBoundAllocation - $F10, "")</f>
        <v>-3547473.5503218397</v>
      </c>
      <c r="S10" s="24">
        <f t="shared" si="3"/>
        <v>0.64307664300000045</v>
      </c>
      <c r="T10" s="24">
        <v>0.25</v>
      </c>
    </row>
    <row r="11" spans="1:20" x14ac:dyDescent="0.25">
      <c r="A11" s="10">
        <f t="shared" si="2"/>
        <v>2025</v>
      </c>
      <c r="B11" s="11" t="s">
        <v>9</v>
      </c>
      <c r="C11" s="17">
        <f ca="1">C12 * RANDBETWEEN(900, 1010) * 0.001</f>
        <v>90200000</v>
      </c>
      <c r="D11" s="18">
        <f ca="1">IFERROR(Database8[[#This Row],[Net_Income]] / C10 - 1, "")</f>
        <v>9.5290251916757995E-2</v>
      </c>
      <c r="E11" s="18">
        <f t="shared" ca="1" si="4"/>
        <v>5.6628477298022485E-2</v>
      </c>
      <c r="F11" s="22">
        <f t="shared" ca="1" si="1"/>
        <v>63806064.51846005</v>
      </c>
      <c r="G11" s="12">
        <f ca="1">Database8[[#This Row],[Net_Income]] - Database8[[#This Row],[Total_Allocation_to_Use]] - Database8[[#This Row],[Total_Contribution_to_Investments]]</f>
        <v>12863935.48153995</v>
      </c>
      <c r="H11" s="12">
        <f ca="1">Database8[[#This Row],[Net_Income]] * T11</f>
        <v>13530000</v>
      </c>
      <c r="I11" s="19">
        <f ca="1">Database8[[#This Row],[Total_Allocation_to_Use]] / Database8[[#This Row],[Net_Income]]</f>
        <v>0.70738430730000057</v>
      </c>
      <c r="J11" s="19">
        <f ca="1">Database8[[#This Row],[Total_Retention_by_Source]] / Database8[[#This Row],[Net_Income]]</f>
        <v>0.14261569269999944</v>
      </c>
      <c r="K11" s="14">
        <f ca="1">Database8[[#This Row],[Total_Contribution_to_Investments]] / Database8[[#This Row],[Net_Income]]</f>
        <v>0.15</v>
      </c>
      <c r="L11" s="20">
        <v>8.8200000000000001E-2</v>
      </c>
      <c r="M11" s="20">
        <f ca="1">IFERROR(Database8[[#This Row],[Total_Allocation_to_Use]] / F10 - 1, "")</f>
        <v>0.20481927710843384</v>
      </c>
      <c r="N11" s="21">
        <f ca="1">IFERROR(Database8[[#This Row],[Anticipated_Percent_Growth_of_Allocation]] * F10, "")</f>
        <v>4670986.7591383867</v>
      </c>
      <c r="O11" s="21">
        <f ca="1">IFERROR(Database8[[#This Row],[Total_Allocation_to_Use]] - F10, "")</f>
        <v>10847030.96813821</v>
      </c>
      <c r="P11" s="19">
        <f ca="1">IFERROR(
    ( F10 + Database8[[#This Row],[Anticipated_Nominal_Growth_of_Allocation]] ) /  Database8[[#This Row],[Net_Income]],
"")</f>
        <v>0.63891375065920419</v>
      </c>
      <c r="Q11" s="16">
        <f ca="1">IFERROR(Database8[[#This Row],[Net_Income]] * lowerBoundAllocation - $F11, "")</f>
        <v>-36746064.51846005</v>
      </c>
      <c r="R11" s="16">
        <f ca="1">IFERROR(Database8[[#This Row],[Net_Income]] * upperBoundAllocation - $F11, "")</f>
        <v>-9686064.5184600502</v>
      </c>
      <c r="S11" s="24">
        <f t="shared" si="3"/>
        <v>0.70738430730000057</v>
      </c>
      <c r="T11" s="24">
        <v>0.15</v>
      </c>
    </row>
    <row r="12" spans="1:20" x14ac:dyDescent="0.25">
      <c r="A12" s="10">
        <f t="shared" si="2"/>
        <v>2026</v>
      </c>
      <c r="B12" s="11" t="s">
        <v>15</v>
      </c>
      <c r="C12" s="17">
        <v>100000000</v>
      </c>
      <c r="D12" s="18">
        <f ca="1">IFERROR(Database8[[#This Row],[Net_Income]] / C11 - 1, "")</f>
        <v>0.10864745011086474</v>
      </c>
      <c r="E12" s="18">
        <f t="shared" ca="1" si="4"/>
        <v>9.3841302974724858E-2</v>
      </c>
      <c r="F12" s="22">
        <f t="shared" si="1"/>
        <v>77812273.803000063</v>
      </c>
      <c r="G12" s="12">
        <f>Database8[[#This Row],[Net_Income]] - Database8[[#This Row],[Total_Allocation_to_Use]] - Database8[[#This Row],[Total_Contribution_to_Investments]]</f>
        <v>12187726.196999937</v>
      </c>
      <c r="H12" s="12">
        <f>Database8[[#This Row],[Net_Income]] * T12</f>
        <v>10000000</v>
      </c>
      <c r="I12" s="19">
        <f>Database8[[#This Row],[Total_Allocation_to_Use]] / Database8[[#This Row],[Net_Income]]</f>
        <v>0.77812273803000065</v>
      </c>
      <c r="J12" s="19">
        <f>Database8[[#This Row],[Total_Retention_by_Source]] / Database8[[#This Row],[Net_Income]]</f>
        <v>0.12187726196999937</v>
      </c>
      <c r="K12" s="14">
        <f>Database8[[#This Row],[Total_Contribution_to_Investments]] / Database8[[#This Row],[Net_Income]]</f>
        <v>0.1</v>
      </c>
      <c r="L12" s="20">
        <v>5.9500000000000004E-2</v>
      </c>
      <c r="M12" s="20">
        <f ca="1">IFERROR(Database8[[#This Row],[Total_Allocation_to_Use]] / F11 - 1, "")</f>
        <v>0.21951219512195119</v>
      </c>
      <c r="N12" s="21">
        <f ca="1">IFERROR(Database8[[#This Row],[Anticipated_Percent_Growth_of_Allocation]] * F11, "")</f>
        <v>3796460.8388483734</v>
      </c>
      <c r="O12" s="21">
        <f ca="1">IFERROR(Database8[[#This Row],[Total_Allocation_to_Use]] - F11, "")</f>
        <v>14006209.284540012</v>
      </c>
      <c r="P12" s="19">
        <f ca="1">IFERROR(
    ( F11 + Database8[[#This Row],[Anticipated_Nominal_Growth_of_Allocation]] ) /  Database8[[#This Row],[Net_Income]],
"")</f>
        <v>0.67602525357308418</v>
      </c>
      <c r="Q12" s="16">
        <f>IFERROR(Database8[[#This Row],[Net_Income]] * lowerBoundAllocation - $F12, "")</f>
        <v>-47812273.803000063</v>
      </c>
      <c r="R12" s="16">
        <f>IFERROR(Database8[[#This Row],[Net_Income]] * upperBoundAllocation - $F12, "")</f>
        <v>-17812273.803000063</v>
      </c>
      <c r="S12" s="24">
        <f t="shared" si="3"/>
        <v>0.77812273803000065</v>
      </c>
      <c r="T12" s="24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BE9D-68B1-44F9-8722-D5BDFED1A0FF}">
  <dimension ref="A1:B4"/>
  <sheetViews>
    <sheetView workbookViewId="0">
      <selection activeCell="B5" sqref="B5"/>
    </sheetView>
  </sheetViews>
  <sheetFormatPr defaultRowHeight="15" x14ac:dyDescent="0.25"/>
  <cols>
    <col min="1" max="1" width="22.7109375" bestFit="1" customWidth="1"/>
    <col min="2" max="2" width="20.42578125" bestFit="1" customWidth="1"/>
  </cols>
  <sheetData>
    <row r="1" spans="1:2" s="2" customFormat="1" x14ac:dyDescent="0.25">
      <c r="A1" s="2" t="s">
        <v>10</v>
      </c>
      <c r="B1" s="2" t="s">
        <v>11</v>
      </c>
    </row>
    <row r="2" spans="1:2" x14ac:dyDescent="0.25">
      <c r="A2" t="s">
        <v>12</v>
      </c>
      <c r="B2">
        <v>0.6</v>
      </c>
    </row>
    <row r="3" spans="1:2" x14ac:dyDescent="0.25">
      <c r="A3" t="s">
        <v>13</v>
      </c>
      <c r="B3">
        <v>0.44999999999999996</v>
      </c>
    </row>
    <row r="4" spans="1:2" x14ac:dyDescent="0.25">
      <c r="A4" t="s">
        <v>14</v>
      </c>
      <c r="B4">
        <v>0.3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f04d4-d851-49fc-99df-afef67022f4f" xsi:nil="true"/>
    <lcf76f155ced4ddcb4097134ff3c332f xmlns="d93913b3-8df6-4cfd-bd2b-df7fdb0502cb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s q m i d = " 0 d 9 d 3 8 1 7 - d a e 2 - 4 6 7 6 - 9 0 b 3 - 0 1 4 3 9 a b 2 8 5 0 9 "   x m l n s = " h t t p : / / s c h e m a s . m i c r o s o f t . c o m / D a t a M a s h u p " > A A A A A B Q D A A B Q S w M E F A A C A A g A + l 0 M W 0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+ l 0 M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d D F s o i k e 4 D g A A A B E A A A A T A B w A R m 9 y b X V s Y X M v U 2 V j d G l v b j E u b S C i G A A o o B Q A A A A A A A A A A A A A A A A A A A A A A A A A A A A r T k 0 u y c z P U w i G 0 I b W A F B L A Q I t A B Q A A g A I A P p d D F t L Q M D j p A A A A P Y A A A A S A A A A A A A A A A A A A A A A A A A A A A B D b 2 5 m a W c v U G F j a 2 F n Z S 5 4 b W x Q S w E C L Q A U A A I A C A D 6 X Q x b D 8 r p q 6 Q A A A D p A A A A E w A A A A A A A A A A A A A A A A D w A A A A W 0 N v b n R l b n R f V H l w Z X N d L n h t b F B L A Q I t A B Q A A g A I A P p d D F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p h F l S v t b 2 Q o B + r T N P f 0 S A A A A A A A I A A A A A A A N m A A D A A A A A E A A A A E V H / a o O G Q r A q Z D 3 H l Q q Z h M A A A A A B I A A A K A A A A A Q A A A A M a h H J h e W C C h D l d B 5 E C l N j F A A A A B y F / I h C S 8 q M / s M 0 y z 9 j r w r r k S I J L 3 r g P a t G i T W p J W Q 8 r m N f Y d j + r J b Z V U E u 1 2 c Y M G F q P g w q n W n e p H + 7 R w H W h m x a t y W Q E Z B / V H h z O y E Z A 7 X M B Q A A A C G 8 S S X m O f q r f F j f E z H 9 R o T K r q M O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DEC50B8889164F9499F73D6B22F659" ma:contentTypeVersion="13" ma:contentTypeDescription="Create a new document." ma:contentTypeScope="" ma:versionID="69b7f8d55797d3d986d526cef894f1fd">
  <xsd:schema xmlns:xsd="http://www.w3.org/2001/XMLSchema" xmlns:xs="http://www.w3.org/2001/XMLSchema" xmlns:p="http://schemas.microsoft.com/office/2006/metadata/properties" xmlns:ns2="d93913b3-8df6-4cfd-bd2b-df7fdb0502cb" xmlns:ns3="294f04d4-d851-49fc-99df-afef67022f4f" targetNamespace="http://schemas.microsoft.com/office/2006/metadata/properties" ma:root="true" ma:fieldsID="a0411d47e868c905ee6a963138cb76c4" ns2:_="" ns3:_="">
    <xsd:import namespace="d93913b3-8df6-4cfd-bd2b-df7fdb0502cb"/>
    <xsd:import namespace="294f04d4-d851-49fc-99df-afef67022f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913b3-8df6-4cfd-bd2b-df7fdb0502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dc11224-6de9-45cb-84a4-1634eb9167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f04d4-d851-49fc-99df-afef67022f4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7b7e36-44e5-49a6-8b1a-d6b4f5bb8fdb}" ma:internalName="TaxCatchAll" ma:showField="CatchAllData" ma:web="294f04d4-d851-49fc-99df-afef67022f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AFAD05-67F1-4213-880E-1EBB01753D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E8D313-2AFC-4089-871D-6E6478BEBD74}">
  <ds:schemaRefs>
    <ds:schemaRef ds:uri="http://schemas.microsoft.com/office/2006/metadata/properties"/>
    <ds:schemaRef ds:uri="http://schemas.microsoft.com/office/infopath/2007/PartnerControls"/>
    <ds:schemaRef ds:uri="294f04d4-d851-49fc-99df-afef67022f4f"/>
    <ds:schemaRef ds:uri="d93913b3-8df6-4cfd-bd2b-df7fdb0502cb"/>
  </ds:schemaRefs>
</ds:datastoreItem>
</file>

<file path=customXml/itemProps3.xml><?xml version="1.0" encoding="utf-8"?>
<ds:datastoreItem xmlns:ds="http://schemas.openxmlformats.org/officeDocument/2006/customXml" ds:itemID="{29665AC2-70EF-4311-9DC9-31696EF6C5A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0CD8BC0-FC13-4488-B316-485CD67AE8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3913b3-8df6-4cfd-bd2b-df7fdb0502cb"/>
    <ds:schemaRef ds:uri="294f04d4-d851-49fc-99df-afef67022f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Database</vt:lpstr>
      <vt:lpstr>Allocation Ranges</vt:lpstr>
      <vt:lpstr>lowerBoundAllocation</vt:lpstr>
      <vt:lpstr>upperBoundAllocation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2023-04-12T16:24:12Z</dcterms:created>
  <dcterms:modified xsi:type="dcterms:W3CDTF">2025-09-02T15:45:08Z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0x010100D0DEC50B8889164F9499F73D6B22F659</vt:lpwstr>
  </property>
  <property fmtid="{D5CDD505-2E9C-101B-9397-08002B2CF9AE}" pid="3" name="MediaServiceImageTags">
    <vt:lpwstr/>
  </property>
</Properties>
</file>