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l.carpenter\Documents\GitHub\Personal-Git\Personal-Website-Dev\docs\01-Visual-Storytelling\01-Capital-Allocation\data\"/>
    </mc:Choice>
  </mc:AlternateContent>
  <xr:revisionPtr revIDLastSave="0" documentId="13_ncr:1_{EC55DF74-6077-4230-AA3C-BBD5AE7B6983}" xr6:coauthVersionLast="47" xr6:coauthVersionMax="47" xr10:uidLastSave="{00000000-0000-0000-0000-000000000000}"/>
  <bookViews>
    <workbookView xWindow="28680" yWindow="-180" windowWidth="29040" windowHeight="15720" xr2:uid="{ED92FC22-8F65-4F1B-970C-5485D65135D6}"/>
  </bookViews>
  <sheets>
    <sheet name="Inputs" sheetId="4" r:id="rId1"/>
    <sheet name="Nodes" sheetId="2" r:id="rId2"/>
    <sheet name="Links" sheetId="3" r:id="rId3"/>
    <sheet name="Nodes Positions" sheetId="5" r:id="rId4"/>
  </sheets>
  <definedNames>
    <definedName name="fiscalYear">Inputs!$C$5</definedName>
    <definedName name="govtNode">Inputs!$C$14</definedName>
    <definedName name="linkBusi">Inputs!$D$15</definedName>
    <definedName name="linkGovt">Inputs!$D$14</definedName>
    <definedName name="linkNI">Inputs!$D$10</definedName>
    <definedName name="linkOther">Inputs!$D$12</definedName>
    <definedName name="linkReserves">Inputs!$D$17</definedName>
    <definedName name="linkSF">Inputs!$D$16</definedName>
    <definedName name="millionsConversion">Inputs!$C$22</definedName>
    <definedName name="niNode">Inputs!$C$10</definedName>
    <definedName name="nodeBusi">Inputs!$C$15</definedName>
    <definedName name="nodeGovt">Inputs!$C$14</definedName>
    <definedName name="nodeMiddle">Inputs!$C$11</definedName>
    <definedName name="nodeNI">Inputs!$C$10</definedName>
    <definedName name="nodeOther">Inputs!$C$12</definedName>
    <definedName name="nodeReserves">Inputs!$C$17</definedName>
    <definedName name="nodeSF">Inputs!$C$16</definedName>
    <definedName name="roundTo">Inputs!$C$21</definedName>
    <definedName name="sfLink">Inputs!$D$16</definedName>
    <definedName name="sfNode">Inputs!$C$16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2" i="3"/>
  <c r="D11" i="3"/>
  <c r="D10" i="3"/>
  <c r="D9" i="3"/>
  <c r="D8" i="3"/>
  <c r="D7" i="3"/>
  <c r="D6" i="3"/>
  <c r="D5" i="3"/>
  <c r="D4" i="3"/>
  <c r="D3" i="3"/>
  <c r="D2" i="3"/>
  <c r="F3" i="2"/>
  <c r="C5" i="3"/>
  <c r="C6" i="3"/>
  <c r="C7" i="3"/>
  <c r="C8" i="3"/>
  <c r="C9" i="3"/>
  <c r="C10" i="3"/>
  <c r="C11" i="3"/>
  <c r="C12" i="3"/>
  <c r="C4" i="3"/>
  <c r="B3" i="2"/>
  <c r="C2" i="3"/>
  <c r="B7" i="2" l="1"/>
  <c r="B10" i="2"/>
  <c r="D12" i="4"/>
  <c r="F7" i="2" s="1"/>
  <c r="C12" i="4"/>
  <c r="E13" i="2" s="1"/>
  <c r="F4" i="2"/>
  <c r="F6" i="2"/>
  <c r="E6" i="2"/>
  <c r="F5" i="2"/>
  <c r="E5" i="2"/>
  <c r="E4" i="2"/>
  <c r="C2" i="2"/>
  <c r="B5" i="2"/>
  <c r="B9" i="2"/>
  <c r="B12" i="2"/>
  <c r="B13" i="2"/>
  <c r="B8" i="2"/>
  <c r="B11" i="2"/>
  <c r="B6" i="2"/>
  <c r="B4" i="2"/>
  <c r="B2" i="2"/>
  <c r="E2" i="2"/>
  <c r="E8" i="2" l="1"/>
  <c r="E11" i="2"/>
  <c r="E12" i="2"/>
  <c r="F13" i="2"/>
  <c r="E10" i="2"/>
  <c r="F8" i="2"/>
  <c r="F12" i="2"/>
  <c r="F9" i="2"/>
  <c r="F11" i="2"/>
  <c r="E9" i="2"/>
  <c r="E7" i="2"/>
  <c r="F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tc={99F43207-34C3-4B5C-AB1C-323419BA9B4D}</author>
    <author>tc={1AFD055D-C089-46EC-86B8-F5F8128BDAE7}</author>
    <author>tc={C69EC31B-785D-4C89-970A-ED091EBB2A07}</author>
    <author>tc={215ECC4F-42B1-4995-99D6-B189BCC3B9E3}</author>
    <author>tc={5DCA9E9E-4226-4C07-8FD8-7045E9EDC589}</author>
    <author>tc={C97B0AC5-1FA1-4F64-91D0-816F0C80CB3E}</author>
    <author>tc={4D76D053-FAE3-46E7-BF4C-A9C8E40F4097}</author>
    <author>tc={3171D547-F17B-4F7D-A908-86F60832F366}</author>
    <author>tc={910B67E1-FEB3-434D-94F0-A63394E88FAD}</author>
    <author>tc={A4EB8A07-A1AB-4E41-8E72-5EEE8607FD44}</author>
    <author>tc={B5DBDB92-8645-4CA1-89C4-66C5481E1502}</author>
  </authors>
  <commentList>
    <comment ref="C2" authorId="0" shapeId="0" xr:uid="{99F43207-34C3-4B5C-AB1C-323419BA9B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3" authorId="1" shapeId="0" xr:uid="{1AFD055D-C089-46EC-86B8-F5F8128BDA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4" authorId="2" shapeId="0" xr:uid="{C69EC31B-785D-4C89-970A-ED091EBB2A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5" authorId="3" shapeId="0" xr:uid="{215ECC4F-42B1-4995-99D6-B189BCC3B9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6" authorId="4" shapeId="0" xr:uid="{5DCA9E9E-4226-4C07-8FD8-7045E9EDC5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7" authorId="5" shapeId="0" xr:uid="{C97B0AC5-1FA1-4F64-91D0-816F0C80CB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8" authorId="6" shapeId="0" xr:uid="{4D76D053-FAE3-46E7-BF4C-A9C8E40F40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9" authorId="7" shapeId="0" xr:uid="{3171D547-F17B-4F7D-A908-86F60832F3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10" authorId="8" shapeId="0" xr:uid="{910B67E1-FEB3-434D-94F0-A63394E88F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11" authorId="9" shapeId="0" xr:uid="{A4EB8A07-A1AB-4E41-8E72-5EEE8607FD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  <comment ref="C12" authorId="10" shapeId="0" xr:uid="{B5DBDB92-8645-4CA1-89C4-66C5481E15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Beyond NI will be sourced from reserves node.
</t>
      </text>
    </comment>
  </commentList>
</comments>
</file>

<file path=xl/sharedStrings.xml><?xml version="1.0" encoding="utf-8"?>
<sst xmlns="http://schemas.openxmlformats.org/spreadsheetml/2006/main" count="76" uniqueCount="42">
  <si>
    <t>Source</t>
  </si>
  <si>
    <t>Target</t>
  </si>
  <si>
    <t>Value</t>
  </si>
  <si>
    <t>Node</t>
  </si>
  <si>
    <t>Color</t>
  </si>
  <si>
    <t>LinkColor</t>
  </si>
  <si>
    <t>Link</t>
  </si>
  <si>
    <t>Middle</t>
  </si>
  <si>
    <t>decimal places</t>
  </si>
  <si>
    <t>node_position_y</t>
  </si>
  <si>
    <t>node_position_x</t>
  </si>
  <si>
    <t>Sub Components</t>
  </si>
  <si>
    <t>#F1F1F1</t>
  </si>
  <si>
    <t>millionsConversion</t>
  </si>
  <si>
    <t>roundTo</t>
  </si>
  <si>
    <t>Colors</t>
  </si>
  <si>
    <t>Current fiscalYear</t>
  </si>
  <si>
    <t>Helper Variables</t>
  </si>
  <si>
    <t>Main Inputs for Diagram (Outside of Data)</t>
  </si>
  <si>
    <t>Sources of Cash</t>
  </si>
  <si>
    <t>Uses of Cash</t>
  </si>
  <si>
    <t>Investments</t>
  </si>
  <si>
    <t>Retention of Cash</t>
  </si>
  <si>
    <t>Operating Needs</t>
  </si>
  <si>
    <t>Financing Activities</t>
  </si>
  <si>
    <t>Shareholder Returns</t>
  </si>
  <si>
    <t>Capital Expenditures</t>
  </si>
  <si>
    <t>R&amp;D</t>
  </si>
  <si>
    <t>Acquisitions / M&amp;A outflows</t>
  </si>
  <si>
    <t>Depreciation &amp; Amortization</t>
  </si>
  <si>
    <t>#a8d3de</t>
  </si>
  <si>
    <t>#7a9ba3</t>
  </si>
  <si>
    <t>Sources</t>
  </si>
  <si>
    <t>Uses</t>
  </si>
  <si>
    <t>Retention</t>
  </si>
  <si>
    <t>#f2a896</t>
  </si>
  <si>
    <t>#b27a6d</t>
  </si>
  <si>
    <t>#c2dcd1</t>
  </si>
  <si>
    <t>#8ea199</t>
  </si>
  <si>
    <t>#9289a1</t>
  </si>
  <si>
    <t>#c7bbdb</t>
  </si>
  <si>
    <t>Debt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</si>
</sst>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9.9978637043366805E-2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1" applyNumberFormat="0" applyAlignment="0" applyProtection="0"/>
    <xf numFmtId="0" fontId="7" fillId="3" borderId="3" applyNumberFormat="0" applyAlignment="0" applyProtection="0"/>
  </cellStyleXfs>
  <cellXfs count="31">
    <xf numFmtId="0" fontId="0" fillId="0" borderId="0" xfId="0"/>
    <xf numFmtId="4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41" fontId="2" fillId="0" borderId="0" xfId="0" applyNumberFormat="1" applyFont="1" applyAlignment="1">
      <alignment horizontal="left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3" fillId="2" borderId="1" xfId="2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right" indent="1"/>
    </xf>
    <xf numFmtId="0" fontId="4" fillId="0" borderId="0" xfId="0" applyFont="1" applyAlignment="1">
      <alignment horizontal="center"/>
    </xf>
    <xf numFmtId="164" fontId="0" fillId="0" borderId="0" xfId="1" applyNumberFormat="1" applyFont="1"/>
    <xf numFmtId="0" fontId="3" fillId="2" borderId="1" xfId="2" applyAlignment="1">
      <alignment horizontal="center"/>
    </xf>
    <xf numFmtId="0" fontId="5" fillId="0" borderId="0" xfId="0" applyFont="1"/>
    <xf numFmtId="165" fontId="0" fillId="0" borderId="0" xfId="1" applyNumberFormat="1" applyFont="1"/>
    <xf numFmtId="41" fontId="2" fillId="0" borderId="0" xfId="0" applyNumberFormat="1" applyFont="1"/>
    <xf numFmtId="0" fontId="0" fillId="0" borderId="0" xfId="0" applyFont="1" applyAlignment="1">
      <alignment horizontal="left"/>
    </xf>
    <xf numFmtId="41" fontId="3" fillId="2" borderId="1" xfId="2" applyNumberFormat="1"/>
    <xf numFmtId="0" fontId="4" fillId="0" borderId="2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2" xfId="0" applyFont="1" applyBorder="1" applyAlignment="1"/>
    <xf numFmtId="0" fontId="6" fillId="0" borderId="2" xfId="0" applyFont="1" applyBorder="1"/>
    <xf numFmtId="0" fontId="0" fillId="0" borderId="2" xfId="0" applyBorder="1"/>
    <xf numFmtId="0" fontId="7" fillId="3" borderId="3" xfId="3"/>
    <xf numFmtId="166" fontId="0" fillId="0" borderId="0" xfId="1" applyNumberFormat="1" applyFont="1"/>
    <xf numFmtId="0" fontId="0" fillId="4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166" fontId="0" fillId="0" borderId="0" xfId="0" applyNumberFormat="1"/>
  </cellXfs>
  <cellStyles count="4">
    <cellStyle name="Comma" xfId="1" builtinId="3"/>
    <cellStyle name="Input" xfId="2" builtinId="20"/>
    <cellStyle name="Normal" xfId="0" builtinId="0"/>
    <cellStyle name="Output" xfId="3" builtinId="21"/>
  </cellStyles>
  <dxfs count="9"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6" formatCode="_(* #,##0_);_(* \(#,##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-0.249977111117893"/>
        <name val="Calibri"/>
        <family val="2"/>
        <scheme val="minor"/>
      </font>
    </dxf>
  </dxfs>
  <tableStyles count="0" defaultTableStyle="TableStyleMedium2" defaultPivotStyle="PivotStyleLight16"/>
  <colors>
    <mruColors>
      <color rgb="FFDEEAE5"/>
      <color rgb="FFCEF2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arpenter" id="{8AFE7745-BF27-444C-9D49-81EADBC1D9F6}" userId="S::Daniel.Carpenter@chickasaw.net::a3b6d710-9aa7-4e7b-9869-1219a35673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B5A37C-D832-4229-988F-4AD248557884}" name="nodes" displayName="nodes" ref="A1:F13" totalsRowShown="0" headerRowDxfId="8">
  <autoFilter ref="A1:F13" xr:uid="{6CB5A37C-D832-4229-988F-4AD248557884}"/>
  <tableColumns count="6">
    <tableColumn id="1" xr3:uid="{E4CECE15-A9E6-458B-8867-84D1DC43815C}" name="Node" dataDxfId="7"/>
    <tableColumn id="5" xr3:uid="{AEA1E012-79DC-4D34-A24A-FC2BA6ED92B9}" name="node_position_x" dataDxfId="6" dataCellStyle="Comma">
      <calculatedColumnFormula>IFERROR(VLOOKUP(nodes[[#This Row],[Node]], sources[], 2, FALSE), 0.999)</calculatedColumnFormula>
    </tableColumn>
    <tableColumn id="6" xr3:uid="{85498486-AF0E-4798-8688-2DEA9EBA81F6}" name="node_position_y" dataDxfId="5" dataCellStyle="Comma">
      <calculatedColumnFormula>IFERROR(VLOOKUP(nodes[[#This Row],[Node]], sources[], 2, FALSE), 0.999)</calculatedColumnFormula>
    </tableColumn>
    <tableColumn id="2" xr3:uid="{A464F825-3374-43FA-B7CA-0DAA3F4CA19B}" name="Value" dataDxfId="4" dataCellStyle="Comma"/>
    <tableColumn id="3" xr3:uid="{93250735-24D7-48EE-A550-3EBCEC2BD46C}" name="Color"/>
    <tableColumn id="4" xr3:uid="{8CEAF122-3772-4B03-AC43-006A2D020268}" name="Link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A09843-0114-4030-91F2-5F502E78895F}" name="links" displayName="links" ref="A1:D12" headerRowDxfId="3">
  <autoFilter ref="A1:D12" xr:uid="{53A09843-0114-4030-91F2-5F502E78895F}"/>
  <tableColumns count="4">
    <tableColumn id="1" xr3:uid="{FF6FA4A4-41A6-44F6-9092-A1904F006FFD}" name="Source"/>
    <tableColumn id="2" xr3:uid="{D4ADDC07-D8B1-458D-B04A-BD3FB9016337}" name="Target"/>
    <tableColumn id="3" xr3:uid="{8CE8670C-85CA-4BCA-8413-73D775D3C64B}" name="Value" dataDxfId="2" dataCellStyle="Comma" totalsRowCellStyle="Comma">
      <calculatedColumnFormula>SUMIFS(nodes[Value], nodes[Node], links[[#This Row],[Source]])</calculatedColumnFormula>
    </tableColumn>
    <tableColumn id="4" xr3:uid="{F8E1A96B-C6C6-461C-A727-2A7CD26C1CED}" name="Color" dataDxfId="1">
      <calculatedColumnFormula>IF(links[[#This Row],[Source]] = "Reserves", linkReserves, VLOOKUP(links[[#This Row],[Target]], nodes[], COLUMNS(nodes[#Headers]), 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D044F-CBF2-45B9-B95D-EF062C7F41B9}" name="sources" displayName="sources" ref="A1:B6" totalsRowShown="0" headerRowDxfId="0">
  <autoFilter ref="A1:B6" xr:uid="{A0AD044F-CBF2-45B9-B95D-EF062C7F41B9}"/>
  <tableColumns count="2">
    <tableColumn id="1" xr3:uid="{178CE378-7F71-41C6-A752-3A177401F799}" name="Source"/>
    <tableColumn id="2" xr3:uid="{AAE5760B-12DE-402C-8EB8-F2E5C2D8B9AE}" name="node_position_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MAC Excel Theme">
  <a:themeElements>
    <a:clrScheme name="DBC-Style">
      <a:dk1>
        <a:srgbClr val="444444"/>
      </a:dk1>
      <a:lt1>
        <a:srgbClr val="FAFAFA"/>
      </a:lt1>
      <a:dk2>
        <a:srgbClr val="3F4953"/>
      </a:dk2>
      <a:lt2>
        <a:srgbClr val="EAEAEA"/>
      </a:lt2>
      <a:accent1>
        <a:srgbClr val="BECDE0"/>
      </a:accent1>
      <a:accent2>
        <a:srgbClr val="FFD597"/>
      </a:accent2>
      <a:accent3>
        <a:srgbClr val="F6B7B4"/>
      </a:accent3>
      <a:accent4>
        <a:srgbClr val="BEE0D2"/>
      </a:accent4>
      <a:accent5>
        <a:srgbClr val="E4C6DC"/>
      </a:accent5>
      <a:accent6>
        <a:srgbClr val="BDDBE1"/>
      </a:accent6>
      <a:hlink>
        <a:srgbClr val="6388B4"/>
      </a:hlink>
      <a:folHlink>
        <a:srgbClr val="BECDE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6-11T15:53:16.96" personId="{8AFE7745-BF27-444C-9D49-81EADBC1D9F6}" id="{99F43207-34C3-4B5C-AB1C-323419BA9B4D}">
    <text xml:space="preserve">Beyond NI will be sourced from reserves node.
</text>
  </threadedComment>
  <threadedComment ref="C3" dT="2025-06-11T15:53:16.96" personId="{8AFE7745-BF27-444C-9D49-81EADBC1D9F6}" id="{1AFD055D-C089-46EC-86B8-F5F8128BDAE7}">
    <text xml:space="preserve">Beyond NI will be sourced from reserves node.
</text>
  </threadedComment>
  <threadedComment ref="C4" dT="2025-06-11T15:53:16.96" personId="{8AFE7745-BF27-444C-9D49-81EADBC1D9F6}" id="{C69EC31B-785D-4C89-970A-ED091EBB2A07}">
    <text xml:space="preserve">Beyond NI will be sourced from reserves node.
</text>
  </threadedComment>
  <threadedComment ref="C5" dT="2025-06-11T15:53:16.96" personId="{8AFE7745-BF27-444C-9D49-81EADBC1D9F6}" id="{215ECC4F-42B1-4995-99D6-B189BCC3B9E3}">
    <text xml:space="preserve">Beyond NI will be sourced from reserves node.
</text>
  </threadedComment>
  <threadedComment ref="C6" dT="2025-06-11T15:53:16.96" personId="{8AFE7745-BF27-444C-9D49-81EADBC1D9F6}" id="{5DCA9E9E-4226-4C07-8FD8-7045E9EDC589}">
    <text xml:space="preserve">Beyond NI will be sourced from reserves node.
</text>
  </threadedComment>
  <threadedComment ref="C7" dT="2025-06-11T15:53:16.96" personId="{8AFE7745-BF27-444C-9D49-81EADBC1D9F6}" id="{C97B0AC5-1FA1-4F64-91D0-816F0C80CB3E}">
    <text xml:space="preserve">Beyond NI will be sourced from reserves node.
</text>
  </threadedComment>
  <threadedComment ref="C8" dT="2025-06-11T15:53:16.96" personId="{8AFE7745-BF27-444C-9D49-81EADBC1D9F6}" id="{4D76D053-FAE3-46E7-BF4C-A9C8E40F4097}">
    <text xml:space="preserve">Beyond NI will be sourced from reserves node.
</text>
  </threadedComment>
  <threadedComment ref="C9" dT="2025-06-11T15:53:16.96" personId="{8AFE7745-BF27-444C-9D49-81EADBC1D9F6}" id="{3171D547-F17B-4F7D-A908-86F60832F366}">
    <text xml:space="preserve">Beyond NI will be sourced from reserves node.
</text>
  </threadedComment>
  <threadedComment ref="C10" dT="2025-06-11T15:53:16.96" personId="{8AFE7745-BF27-444C-9D49-81EADBC1D9F6}" id="{910B67E1-FEB3-434D-94F0-A63394E88FAD}">
    <text xml:space="preserve">Beyond NI will be sourced from reserves node.
</text>
  </threadedComment>
  <threadedComment ref="C11" dT="2025-06-11T15:53:16.96" personId="{8AFE7745-BF27-444C-9D49-81EADBC1D9F6}" id="{A4EB8A07-A1AB-4E41-8E72-5EEE8607FD44}">
    <text xml:space="preserve">Beyond NI will be sourced from reserves node.
</text>
  </threadedComment>
  <threadedComment ref="C12" dT="2025-06-11T15:53:16.96" personId="{8AFE7745-BF27-444C-9D49-81EADBC1D9F6}" id="{B5DBDB92-8645-4CA1-89C4-66C5481E1502}">
    <text xml:space="preserve">Beyond NI will be sourced from reserves node.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A647-5F8D-45CF-BBEA-96218054FC9B}">
  <dimension ref="B2:H22"/>
  <sheetViews>
    <sheetView tabSelected="1" workbookViewId="0"/>
  </sheetViews>
  <sheetFormatPr defaultRowHeight="15" x14ac:dyDescent="0.25"/>
  <cols>
    <col min="1" max="1" width="2.7109375" customWidth="1"/>
    <col min="2" max="2" width="18.42578125" style="7" customWidth="1"/>
    <col min="3" max="3" width="10.5703125" bestFit="1" customWidth="1"/>
    <col min="8" max="8" width="22.7109375" bestFit="1" customWidth="1"/>
  </cols>
  <sheetData>
    <row r="2" spans="2:8" ht="18.75" x14ac:dyDescent="0.3">
      <c r="B2" s="22" t="s">
        <v>18</v>
      </c>
      <c r="C2" s="23"/>
      <c r="D2" s="23"/>
      <c r="E2" s="24"/>
      <c r="F2" s="24"/>
    </row>
    <row r="5" spans="2:8" x14ac:dyDescent="0.25">
      <c r="B5" s="7" t="s">
        <v>16</v>
      </c>
      <c r="C5" s="25">
        <v>2025</v>
      </c>
    </row>
    <row r="7" spans="2:8" x14ac:dyDescent="0.25">
      <c r="B7" s="20" t="s">
        <v>15</v>
      </c>
      <c r="C7" s="20"/>
      <c r="D7" s="20"/>
    </row>
    <row r="8" spans="2:8" x14ac:dyDescent="0.25">
      <c r="B8" s="21"/>
      <c r="C8" s="21"/>
      <c r="D8" s="21"/>
    </row>
    <row r="9" spans="2:8" s="10" customFormat="1" x14ac:dyDescent="0.25">
      <c r="B9" s="9"/>
      <c r="C9" s="12" t="s">
        <v>3</v>
      </c>
      <c r="D9" s="12" t="s">
        <v>6</v>
      </c>
      <c r="H9"/>
    </row>
    <row r="10" spans="2:8" x14ac:dyDescent="0.25">
      <c r="B10" s="11" t="s">
        <v>32</v>
      </c>
      <c r="C10" s="8" t="s">
        <v>12</v>
      </c>
      <c r="D10" s="8"/>
    </row>
    <row r="11" spans="2:8" x14ac:dyDescent="0.25">
      <c r="B11" s="11" t="s">
        <v>7</v>
      </c>
      <c r="C11" s="8"/>
      <c r="D11" s="8"/>
      <c r="E11" s="15"/>
    </row>
    <row r="12" spans="2:8" x14ac:dyDescent="0.25">
      <c r="B12" s="11" t="s">
        <v>11</v>
      </c>
      <c r="C12" s="25" t="str">
        <f t="shared" ref="C12:D12" si="0">C14</f>
        <v>#7a9ba3</v>
      </c>
      <c r="D12" s="25" t="str">
        <f t="shared" si="0"/>
        <v>#a8d3de</v>
      </c>
    </row>
    <row r="13" spans="2:8" x14ac:dyDescent="0.25">
      <c r="B13"/>
    </row>
    <row r="14" spans="2:8" x14ac:dyDescent="0.25">
      <c r="B14" s="11" t="s">
        <v>33</v>
      </c>
      <c r="C14" s="8" t="s">
        <v>31</v>
      </c>
      <c r="D14" s="8" t="s">
        <v>30</v>
      </c>
    </row>
    <row r="15" spans="2:8" x14ac:dyDescent="0.25">
      <c r="B15" s="11" t="s">
        <v>34</v>
      </c>
      <c r="C15" s="8" t="s">
        <v>38</v>
      </c>
      <c r="D15" s="8" t="s">
        <v>37</v>
      </c>
    </row>
    <row r="16" spans="2:8" x14ac:dyDescent="0.25">
      <c r="B16" s="11" t="s">
        <v>21</v>
      </c>
      <c r="C16" s="8" t="s">
        <v>39</v>
      </c>
      <c r="D16" s="8" t="s">
        <v>40</v>
      </c>
    </row>
    <row r="17" spans="2:4" x14ac:dyDescent="0.25">
      <c r="B17" s="11" t="s">
        <v>41</v>
      </c>
      <c r="C17" s="8" t="s">
        <v>36</v>
      </c>
      <c r="D17" s="8" t="s">
        <v>35</v>
      </c>
    </row>
    <row r="19" spans="2:4" x14ac:dyDescent="0.25">
      <c r="B19" s="20" t="s">
        <v>17</v>
      </c>
      <c r="C19" s="20"/>
      <c r="D19" s="20"/>
    </row>
    <row r="21" spans="2:4" x14ac:dyDescent="0.25">
      <c r="B21" s="7" t="s">
        <v>14</v>
      </c>
      <c r="C21" s="14">
        <v>0</v>
      </c>
      <c r="D21" t="s">
        <v>8</v>
      </c>
    </row>
    <row r="22" spans="2:4" x14ac:dyDescent="0.25">
      <c r="B22" s="7" t="s">
        <v>13</v>
      </c>
      <c r="C22" s="19">
        <v>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B6F4-B7BC-4AFB-B418-091EA8EEE778}">
  <dimension ref="A1:H20"/>
  <sheetViews>
    <sheetView zoomScale="145" zoomScaleNormal="145" workbookViewId="0"/>
  </sheetViews>
  <sheetFormatPr defaultRowHeight="15" x14ac:dyDescent="0.25"/>
  <cols>
    <col min="1" max="1" width="43.7109375" bestFit="1" customWidth="1"/>
    <col min="2" max="3" width="33.42578125" customWidth="1"/>
    <col min="4" max="4" width="12.7109375" customWidth="1"/>
    <col min="5" max="5" width="12.85546875" bestFit="1" customWidth="1"/>
    <col min="6" max="6" width="11.5703125" bestFit="1" customWidth="1"/>
    <col min="10" max="10" width="13.42578125" bestFit="1" customWidth="1"/>
  </cols>
  <sheetData>
    <row r="1" spans="1:8" x14ac:dyDescent="0.25">
      <c r="A1" s="2" t="s">
        <v>3</v>
      </c>
      <c r="B1" s="2" t="s">
        <v>10</v>
      </c>
      <c r="C1" s="2" t="s">
        <v>9</v>
      </c>
      <c r="D1" s="2" t="s">
        <v>2</v>
      </c>
      <c r="E1" s="2" t="s">
        <v>4</v>
      </c>
      <c r="F1" s="2" t="s">
        <v>5</v>
      </c>
    </row>
    <row r="2" spans="1:8" x14ac:dyDescent="0.25">
      <c r="A2" s="27" t="s">
        <v>19</v>
      </c>
      <c r="B2" s="16">
        <f>IFERROR(VLOOKUP(nodes[[#This Row],[Node]], sources[], 2, FALSE), 0.999)</f>
        <v>1E-3</v>
      </c>
      <c r="C2" s="16">
        <f>IFERROR(VLOOKUP(nodes[[#This Row],[Node]], sources[], 2, FALSE), 0.999)</f>
        <v>1E-3</v>
      </c>
      <c r="D2" s="26">
        <v>75</v>
      </c>
      <c r="E2" t="str">
        <f>nodeNI</f>
        <v>#F1F1F1</v>
      </c>
      <c r="H2" s="30"/>
    </row>
    <row r="3" spans="1:8" x14ac:dyDescent="0.25">
      <c r="A3" s="28" t="s">
        <v>41</v>
      </c>
      <c r="B3" s="16">
        <f>IFERROR(VLOOKUP(nodes[[#This Row],[Node]], sources[], 2, FALSE), 0.999)</f>
        <v>1E-3</v>
      </c>
      <c r="C3" s="16">
        <v>1E-3</v>
      </c>
      <c r="D3" s="26">
        <v>10</v>
      </c>
      <c r="E3" t="str">
        <f>nodeReserves</f>
        <v>#b27a6d</v>
      </c>
      <c r="F3" s="18" t="str">
        <f>linkReserves</f>
        <v>#f2a896</v>
      </c>
      <c r="H3" s="30"/>
    </row>
    <row r="4" spans="1:8" x14ac:dyDescent="0.25">
      <c r="A4" s="27" t="s">
        <v>20</v>
      </c>
      <c r="B4" s="16">
        <f>IFERROR(VLOOKUP(nodes[[#This Row],[Node]], sources[], 2, FALSE), 0.999)</f>
        <v>0.5</v>
      </c>
      <c r="C4" s="16">
        <v>1E-3</v>
      </c>
      <c r="D4" s="26">
        <v>85</v>
      </c>
      <c r="E4" t="str">
        <f>nodeGovt</f>
        <v>#7a9ba3</v>
      </c>
      <c r="F4" s="18" t="str">
        <f>linkGovt</f>
        <v>#a8d3de</v>
      </c>
      <c r="H4" s="30"/>
    </row>
    <row r="5" spans="1:8" x14ac:dyDescent="0.25">
      <c r="A5" s="28" t="s">
        <v>21</v>
      </c>
      <c r="B5" s="16">
        <f>IFERROR(VLOOKUP(nodes[[#This Row],[Node]], sources[], 2, FALSE), 0.999)</f>
        <v>0.5</v>
      </c>
      <c r="C5" s="16">
        <v>0.65</v>
      </c>
      <c r="D5" s="26">
        <v>15</v>
      </c>
      <c r="E5" t="str">
        <f>nodeSF</f>
        <v>#9289a1</v>
      </c>
      <c r="F5" s="18" t="str">
        <f>linkSF</f>
        <v>#c7bbdb</v>
      </c>
      <c r="H5" s="30"/>
    </row>
    <row r="6" spans="1:8" x14ac:dyDescent="0.25">
      <c r="A6" s="27" t="s">
        <v>22</v>
      </c>
      <c r="B6" s="16">
        <f>IFERROR(VLOOKUP(nodes[[#This Row],[Node]], sources[], 2, FALSE), 0.999)</f>
        <v>0.5</v>
      </c>
      <c r="C6" s="16">
        <v>0.8</v>
      </c>
      <c r="D6" s="26">
        <v>10</v>
      </c>
      <c r="E6" t="str">
        <f>nodeBusi</f>
        <v>#8ea199</v>
      </c>
      <c r="F6" s="18" t="str">
        <f>linkBusi</f>
        <v>#c2dcd1</v>
      </c>
      <c r="H6" s="30"/>
    </row>
    <row r="7" spans="1:8" x14ac:dyDescent="0.25">
      <c r="A7" s="28" t="s">
        <v>23</v>
      </c>
      <c r="B7" s="16">
        <f>IFERROR(VLOOKUP(nodes[[#This Row],[Node]], sources[], 2, FALSE), 0.999)</f>
        <v>0.999</v>
      </c>
      <c r="C7" s="16">
        <v>1E-3</v>
      </c>
      <c r="D7" s="26">
        <v>50</v>
      </c>
      <c r="E7" t="str">
        <f t="shared" ref="E7:E13" si="0">nodeOther</f>
        <v>#7a9ba3</v>
      </c>
      <c r="F7" s="18" t="str">
        <f t="shared" ref="F7:F13" si="1">linkOther</f>
        <v>#a8d3de</v>
      </c>
      <c r="H7" s="30"/>
    </row>
    <row r="8" spans="1:8" x14ac:dyDescent="0.25">
      <c r="A8" s="27" t="s">
        <v>27</v>
      </c>
      <c r="B8" s="16">
        <f>IFERROR(VLOOKUP(nodes[[#This Row],[Node]], sources[], 2, FALSE), 0.999)</f>
        <v>0.999</v>
      </c>
      <c r="C8" s="16">
        <v>0.3</v>
      </c>
      <c r="D8" s="26">
        <v>5</v>
      </c>
      <c r="E8" t="str">
        <f t="shared" si="0"/>
        <v>#7a9ba3</v>
      </c>
      <c r="F8" s="18" t="str">
        <f t="shared" si="1"/>
        <v>#a8d3de</v>
      </c>
      <c r="H8" s="30"/>
    </row>
    <row r="9" spans="1:8" x14ac:dyDescent="0.25">
      <c r="A9" s="28" t="s">
        <v>24</v>
      </c>
      <c r="B9" s="16">
        <f>IFERROR(VLOOKUP(nodes[[#This Row],[Node]], sources[], 2, FALSE), 0.999)</f>
        <v>0.999</v>
      </c>
      <c r="C9" s="16">
        <v>1E-3</v>
      </c>
      <c r="D9" s="26">
        <v>5</v>
      </c>
      <c r="E9" t="str">
        <f t="shared" si="0"/>
        <v>#7a9ba3</v>
      </c>
      <c r="F9" s="18" t="str">
        <f t="shared" si="1"/>
        <v>#a8d3de</v>
      </c>
      <c r="H9" s="30"/>
    </row>
    <row r="10" spans="1:8" x14ac:dyDescent="0.25">
      <c r="A10" s="27" t="s">
        <v>26</v>
      </c>
      <c r="B10" s="16">
        <f>IFERROR(VLOOKUP(nodes[[#This Row],[Node]], sources[], 2, FALSE), 0.999)</f>
        <v>0.999</v>
      </c>
      <c r="C10" s="16">
        <v>1E-3</v>
      </c>
      <c r="D10" s="26">
        <v>5</v>
      </c>
      <c r="E10" t="str">
        <f t="shared" si="0"/>
        <v>#7a9ba3</v>
      </c>
      <c r="F10" s="18" t="str">
        <f t="shared" si="1"/>
        <v>#a8d3de</v>
      </c>
      <c r="H10" s="30"/>
    </row>
    <row r="11" spans="1:8" x14ac:dyDescent="0.25">
      <c r="A11" s="28" t="s">
        <v>28</v>
      </c>
      <c r="B11" s="16">
        <f>IFERROR(VLOOKUP(nodes[[#This Row],[Node]], sources[], 2, FALSE), 0.999)</f>
        <v>0.999</v>
      </c>
      <c r="C11" s="16">
        <v>0.2</v>
      </c>
      <c r="D11" s="26">
        <v>5</v>
      </c>
      <c r="E11" t="str">
        <f t="shared" si="0"/>
        <v>#7a9ba3</v>
      </c>
      <c r="F11" s="18" t="str">
        <f t="shared" si="1"/>
        <v>#a8d3de</v>
      </c>
      <c r="H11" s="30"/>
    </row>
    <row r="12" spans="1:8" x14ac:dyDescent="0.25">
      <c r="A12" s="27" t="s">
        <v>29</v>
      </c>
      <c r="B12" s="16">
        <f>IFERROR(VLOOKUP(nodes[[#This Row],[Node]], sources[], 2, FALSE), 0.999)</f>
        <v>0.999</v>
      </c>
      <c r="C12" s="16">
        <v>1E-3</v>
      </c>
      <c r="D12" s="26">
        <v>4</v>
      </c>
      <c r="E12" t="str">
        <f t="shared" si="0"/>
        <v>#7a9ba3</v>
      </c>
      <c r="F12" s="18" t="str">
        <f t="shared" si="1"/>
        <v>#a8d3de</v>
      </c>
      <c r="H12" s="30"/>
    </row>
    <row r="13" spans="1:8" x14ac:dyDescent="0.25">
      <c r="A13" s="28" t="s">
        <v>25</v>
      </c>
      <c r="B13" s="16">
        <f>IFERROR(VLOOKUP(nodes[[#This Row],[Node]], sources[], 2, FALSE), 0.999)</f>
        <v>0.999</v>
      </c>
      <c r="C13" s="16">
        <v>1E-3</v>
      </c>
      <c r="D13" s="26">
        <v>1</v>
      </c>
      <c r="E13" t="str">
        <f t="shared" si="0"/>
        <v>#7a9ba3</v>
      </c>
      <c r="F13" s="18" t="str">
        <f t="shared" si="1"/>
        <v>#a8d3de</v>
      </c>
      <c r="H13" s="30"/>
    </row>
    <row r="17" spans="7:8" x14ac:dyDescent="0.25">
      <c r="G17" s="6"/>
      <c r="H17" s="5"/>
    </row>
    <row r="18" spans="7:8" x14ac:dyDescent="0.25">
      <c r="G18" s="6"/>
      <c r="H18" s="5"/>
    </row>
    <row r="19" spans="7:8" x14ac:dyDescent="0.25">
      <c r="G19" s="6"/>
      <c r="H19" s="5"/>
    </row>
    <row r="20" spans="7:8" x14ac:dyDescent="0.25">
      <c r="G20" s="6"/>
      <c r="H20" s="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A9BA-D695-4C93-BE01-D0FF59F94286}">
  <dimension ref="A1:D13"/>
  <sheetViews>
    <sheetView zoomScale="145" zoomScaleNormal="145" workbookViewId="0"/>
  </sheetViews>
  <sheetFormatPr defaultRowHeight="15" x14ac:dyDescent="0.25"/>
  <cols>
    <col min="1" max="2" width="43.7109375" bestFit="1" customWidth="1"/>
    <col min="3" max="3" width="14.5703125" style="1" bestFit="1" customWidth="1"/>
    <col min="4" max="4" width="12.7109375" style="1" customWidth="1"/>
    <col min="6" max="6" width="40" bestFit="1" customWidth="1"/>
    <col min="7" max="7" width="40.140625" bestFit="1" customWidth="1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4</v>
      </c>
    </row>
    <row r="2" spans="1:4" x14ac:dyDescent="0.25">
      <c r="A2" t="s">
        <v>41</v>
      </c>
      <c r="B2" t="s">
        <v>20</v>
      </c>
      <c r="C2" s="13">
        <f>SUMIFS(nodes[Value], nodes[Node], links[[#This Row],[Source]])</f>
        <v>10</v>
      </c>
      <c r="D2" t="str">
        <f>IF(links[[#This Row],[Source]] = "Debt Financing", linkReserves, VLOOKUP(links[[#This Row],[Target]], nodes[], COLUMNS(nodes[#Headers]), FALSE))</f>
        <v>#f2a896</v>
      </c>
    </row>
    <row r="3" spans="1:4" x14ac:dyDescent="0.25">
      <c r="A3" t="s">
        <v>19</v>
      </c>
      <c r="B3" t="s">
        <v>20</v>
      </c>
      <c r="C3" s="13">
        <v>65</v>
      </c>
      <c r="D3" t="str">
        <f>IF(links[[#This Row],[Source]] = "Debt Financing", linkReserves, VLOOKUP(links[[#This Row],[Target]], nodes[], COLUMNS(nodes[#Headers]), FALSE))</f>
        <v>#a8d3de</v>
      </c>
    </row>
    <row r="4" spans="1:4" x14ac:dyDescent="0.25">
      <c r="A4" t="s">
        <v>19</v>
      </c>
      <c r="B4" t="s">
        <v>21</v>
      </c>
      <c r="C4" s="13">
        <f>SUMIFS(nodes[Value], nodes[Node], links[[#This Row],[Target]])</f>
        <v>15</v>
      </c>
      <c r="D4" t="str">
        <f>IF(links[[#This Row],[Source]] = "Debt Financing", linkReserves, VLOOKUP(links[[#This Row],[Target]], nodes[], COLUMNS(nodes[#Headers]), FALSE))</f>
        <v>#c7bbdb</v>
      </c>
    </row>
    <row r="5" spans="1:4" x14ac:dyDescent="0.25">
      <c r="A5" t="s">
        <v>19</v>
      </c>
      <c r="B5" s="27" t="s">
        <v>22</v>
      </c>
      <c r="C5" s="13">
        <f>SUMIFS(nodes[Value], nodes[Node], links[[#This Row],[Target]])</f>
        <v>10</v>
      </c>
      <c r="D5" t="str">
        <f>IF(links[[#This Row],[Source]] = "Debt Financing", linkReserves, VLOOKUP(links[[#This Row],[Target]], nodes[], COLUMNS(nodes[#Headers]), FALSE))</f>
        <v>#c2dcd1</v>
      </c>
    </row>
    <row r="6" spans="1:4" x14ac:dyDescent="0.25">
      <c r="A6" t="s">
        <v>20</v>
      </c>
      <c r="B6" s="29" t="s">
        <v>23</v>
      </c>
      <c r="C6" s="13">
        <f>SUMIFS(nodes[Value], nodes[Node], links[[#This Row],[Target]])</f>
        <v>50</v>
      </c>
      <c r="D6" t="str">
        <f>IF(links[[#This Row],[Source]] = "Debt Financing", linkReserves, VLOOKUP(links[[#This Row],[Target]], nodes[], COLUMNS(nodes[#Headers]), FALSE))</f>
        <v>#a8d3de</v>
      </c>
    </row>
    <row r="7" spans="1:4" x14ac:dyDescent="0.25">
      <c r="A7" t="s">
        <v>20</v>
      </c>
      <c r="B7" s="27" t="s">
        <v>27</v>
      </c>
      <c r="C7" s="13">
        <f>SUMIFS(nodes[Value], nodes[Node], links[[#This Row],[Target]])</f>
        <v>5</v>
      </c>
      <c r="D7" t="str">
        <f>IF(links[[#This Row],[Source]] = "Debt Financing", linkReserves, VLOOKUP(links[[#This Row],[Target]], nodes[], COLUMNS(nodes[#Headers]), FALSE))</f>
        <v>#a8d3de</v>
      </c>
    </row>
    <row r="8" spans="1:4" x14ac:dyDescent="0.25">
      <c r="A8" t="s">
        <v>20</v>
      </c>
      <c r="B8" s="28" t="s">
        <v>24</v>
      </c>
      <c r="C8" s="13">
        <f>SUMIFS(nodes[Value], nodes[Node], links[[#This Row],[Target]])</f>
        <v>5</v>
      </c>
      <c r="D8" t="str">
        <f>IF(links[[#This Row],[Source]] = "Debt Financing", linkReserves, VLOOKUP(links[[#This Row],[Target]], nodes[], COLUMNS(nodes[#Headers]), FALSE))</f>
        <v>#a8d3de</v>
      </c>
    </row>
    <row r="9" spans="1:4" x14ac:dyDescent="0.25">
      <c r="A9" t="s">
        <v>20</v>
      </c>
      <c r="B9" s="27" t="s">
        <v>26</v>
      </c>
      <c r="C9" s="13">
        <f>SUMIFS(nodes[Value], nodes[Node], links[[#This Row],[Target]])</f>
        <v>5</v>
      </c>
      <c r="D9" t="str">
        <f>IF(links[[#This Row],[Source]] = "Debt Financing", linkReserves, VLOOKUP(links[[#This Row],[Target]], nodes[], COLUMNS(nodes[#Headers]), FALSE))</f>
        <v>#a8d3de</v>
      </c>
    </row>
    <row r="10" spans="1:4" x14ac:dyDescent="0.25">
      <c r="A10" t="s">
        <v>20</v>
      </c>
      <c r="B10" s="28" t="s">
        <v>28</v>
      </c>
      <c r="C10" s="13">
        <f>SUMIFS(nodes[Value], nodes[Node], links[[#This Row],[Target]])</f>
        <v>5</v>
      </c>
      <c r="D10" t="str">
        <f>IF(links[[#This Row],[Source]] = "Debt Financing", linkReserves, VLOOKUP(links[[#This Row],[Target]], nodes[], COLUMNS(nodes[#Headers]), FALSE))</f>
        <v>#a8d3de</v>
      </c>
    </row>
    <row r="11" spans="1:4" x14ac:dyDescent="0.25">
      <c r="A11" t="s">
        <v>20</v>
      </c>
      <c r="B11" s="27" t="s">
        <v>29</v>
      </c>
      <c r="C11" s="13">
        <f>SUMIFS(nodes[Value], nodes[Node], links[[#This Row],[Target]])</f>
        <v>4</v>
      </c>
      <c r="D11" t="str">
        <f>IF(links[[#This Row],[Source]] = "Debt Financing", linkReserves, VLOOKUP(links[[#This Row],[Target]], nodes[], COLUMNS(nodes[#Headers]), FALSE))</f>
        <v>#a8d3de</v>
      </c>
    </row>
    <row r="12" spans="1:4" x14ac:dyDescent="0.25">
      <c r="A12" t="s">
        <v>20</v>
      </c>
      <c r="B12" s="28" t="s">
        <v>25</v>
      </c>
      <c r="C12" s="13">
        <f>SUMIFS(nodes[Value], nodes[Node], links[[#This Row],[Target]])</f>
        <v>1</v>
      </c>
      <c r="D12" t="str">
        <f>IF(links[[#This Row],[Source]] = "Debt Financing", linkReserves, VLOOKUP(links[[#This Row],[Target]], nodes[], COLUMNS(nodes[#Headers]), FALSE))</f>
        <v>#a8d3de</v>
      </c>
    </row>
    <row r="13" spans="1:4" x14ac:dyDescent="0.25">
      <c r="C13" s="13"/>
      <c r="D13"/>
    </row>
  </sheetData>
  <dataValidations count="1">
    <dataValidation type="list" allowBlank="1" showInputMessage="1" showErrorMessage="1" sqref="B2:B4 A2:A5 A7:A15 A6:B6 B13" xr:uid="{BF923ADF-B842-4342-B693-34341E70977B}">
      <formula1>#REF!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DD96-7C52-4C77-9FFD-F8EF74994AEF}">
  <dimension ref="A1:B6"/>
  <sheetViews>
    <sheetView workbookViewId="0"/>
  </sheetViews>
  <sheetFormatPr defaultRowHeight="15" x14ac:dyDescent="0.25"/>
  <cols>
    <col min="1" max="1" width="37.140625" bestFit="1" customWidth="1"/>
    <col min="2" max="2" width="19.42578125" customWidth="1"/>
  </cols>
  <sheetData>
    <row r="1" spans="1:2" x14ac:dyDescent="0.25">
      <c r="A1" s="2" t="s">
        <v>0</v>
      </c>
      <c r="B1" s="17" t="s">
        <v>10</v>
      </c>
    </row>
    <row r="2" spans="1:2" x14ac:dyDescent="0.25">
      <c r="A2" t="s">
        <v>19</v>
      </c>
      <c r="B2">
        <v>1E-3</v>
      </c>
    </row>
    <row r="3" spans="1:2" x14ac:dyDescent="0.25">
      <c r="A3" t="s">
        <v>20</v>
      </c>
      <c r="B3">
        <v>0.5</v>
      </c>
    </row>
    <row r="4" spans="1:2" x14ac:dyDescent="0.25">
      <c r="A4" t="s">
        <v>22</v>
      </c>
      <c r="B4">
        <v>0.5</v>
      </c>
    </row>
    <row r="5" spans="1:2" x14ac:dyDescent="0.25">
      <c r="A5" t="s">
        <v>21</v>
      </c>
      <c r="B5">
        <v>0.5</v>
      </c>
    </row>
    <row r="6" spans="1:2" x14ac:dyDescent="0.25">
      <c r="A6" t="s">
        <v>41</v>
      </c>
      <c r="B6">
        <v>1E-3</v>
      </c>
    </row>
  </sheetData>
  <dataValidations count="1">
    <dataValidation type="list" allowBlank="1" showInputMessage="1" showErrorMessage="1" sqref="A2:A6" xr:uid="{70A0E92C-32AF-4F6A-8690-FE9E6CFFB912}">
      <formula1>#REF!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c 8 2 0 7 e - 7 3 e 2 - 4 d 6 2 - b 1 1 e - e d 6 6 3 5 3 9 b 9 4 a "   x m l n s = " h t t p : / / s c h e m a s . m i c r o s o f t . c o m / D a t a M a s h u p " > A A A A A B Q D A A B Q S w M E F A A C A A g A 0 3 0 L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0 3 0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9 C 1 s o i k e 4 D g A A A B E A A A A T A B w A R m 9 y b X V s Y X M v U 2 V j d G l v b j E u b S C i G A A o o B Q A A A A A A A A A A A A A A A A A A A A A A A A A A A A r T k 0 u y c z P U w i G 0 I b W A F B L A Q I t A B Q A A g A I A N N 9 C 1 t L Q M D j p A A A A P Y A A A A S A A A A A A A A A A A A A A A A A A A A A A B D b 2 5 m a W c v U G F j a 2 F n Z S 5 4 b W x Q S w E C L Q A U A A I A C A D T f Q t b D 8 r p q 6 Q A A A D p A A A A E w A A A A A A A A A A A A A A A A D w A A A A W 0 N v b n R l b n R f V H l w Z X N d L n h t b F B L A Q I t A B Q A A g A I A N N 9 C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p h F l S v t b 2 Q o B + r T N P f 0 S A A A A A A A I A A A A A A A N m A A D A A A A A E A A A A E Q 9 I x 1 I 8 n H O O 6 q m E s 7 s X N w A A A A A B I A A A K A A A A A Q A A A A x v 4 Z t Q D M 2 U b m P H b 2 F 4 k a t l A A A A D x 4 O Z c x L c c 8 y Z c P / m H 0 C 5 + t m a X 9 R k T H H K p j L v I w w a E r w V a g o 9 3 L h q W J F r 9 f 9 X V e w 2 h 0 r N r d z Q / d w Q 6 d G 0 y P 0 9 u G Q F l Q H k Z k b l A 9 b b A A 4 a 0 c R Q A A A A 8 C z F g J L H o d T H V u F w A S k S B N w V c K Q = = < / D a t a M a s h u p > 
</file>

<file path=customXml/itemProps1.xml><?xml version="1.0" encoding="utf-8"?>
<ds:datastoreItem xmlns:ds="http://schemas.openxmlformats.org/officeDocument/2006/customXml" ds:itemID="{BE15E8B1-7BCC-4DE6-B0E6-9DD3515445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Inputs</vt:lpstr>
      <vt:lpstr>Nodes</vt:lpstr>
      <vt:lpstr>Links</vt:lpstr>
      <vt:lpstr>Nodes Positions</vt:lpstr>
      <vt:lpstr>fiscalYear</vt:lpstr>
      <vt:lpstr>govtNode</vt:lpstr>
      <vt:lpstr>linkBusi</vt:lpstr>
      <vt:lpstr>linkGovt</vt:lpstr>
      <vt:lpstr>linkNI</vt:lpstr>
      <vt:lpstr>linkOther</vt:lpstr>
      <vt:lpstr>linkReserves</vt:lpstr>
      <vt:lpstr>linkSF</vt:lpstr>
      <vt:lpstr>millionsConversion</vt:lpstr>
      <vt:lpstr>niNode</vt:lpstr>
      <vt:lpstr>nodeBusi</vt:lpstr>
      <vt:lpstr>nodeGovt</vt:lpstr>
      <vt:lpstr>nodeMiddle</vt:lpstr>
      <vt:lpstr>nodeNI</vt:lpstr>
      <vt:lpstr>nodeOther</vt:lpstr>
      <vt:lpstr>nodeReserves</vt:lpstr>
      <vt:lpstr>nodeSF</vt:lpstr>
      <vt:lpstr>roundTo</vt:lpstr>
      <vt:lpstr>sfLink</vt:lpstr>
      <vt:lpstr>sfNode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2023-03-30T21:02:31Z</dcterms:created>
  <dcterms:modified xsi:type="dcterms:W3CDTF">2025-09-02T16:27:49Z</dcterms:modified>
</cp:coreProperties>
</file>