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drawings/drawing7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ners.sharepoint.com/sites/ConsumerDiscretionary-SIFundFall2020/Shared Documents/01 - Assignments/03 - Earnings Model/"/>
    </mc:Choice>
  </mc:AlternateContent>
  <xr:revisionPtr revIDLastSave="4346" documentId="113_{C4ED0678-9DFB-47BA-B60B-199EA9F3DA62}" xr6:coauthVersionLast="45" xr6:coauthVersionMax="45" xr10:uidLastSave="{00F49783-374E-4BD5-924E-765529F08352}"/>
  <bookViews>
    <workbookView xWindow="-108" yWindow="-108" windowWidth="23256" windowHeight="12576" activeTab="7" xr2:uid="{A6D64E87-DCE4-4F9B-9D76-CA5679C1D40C}"/>
  </bookViews>
  <sheets>
    <sheet name="Screening" sheetId="1" r:id="rId1"/>
    <sheet name="Notes" sheetId="2" r:id="rId2"/>
    <sheet name="MHO" sheetId="10" r:id="rId3"/>
    <sheet name="AAN" sheetId="5" r:id="rId4"/>
    <sheet name="CATO" sheetId="6" r:id="rId5"/>
    <sheet name="GPI" sheetId="9" r:id="rId6"/>
    <sheet name="GIII" sheetId="8" r:id="rId7"/>
    <sheet name="GCO" sheetId="7" r:id="rId8"/>
    <sheet name="RICK" sheetId="11" state="hidden" r:id="rId9"/>
  </sheets>
  <definedNames>
    <definedName name="_xlnm._FilterDatabase" localSheetId="0" hidden="1">Screening!$B$8:$G$172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5" i="7" l="1"/>
  <c r="T15" i="7"/>
  <c r="S15" i="7"/>
  <c r="R15" i="7"/>
  <c r="Q15" i="7"/>
  <c r="P15" i="7"/>
  <c r="O15" i="7"/>
  <c r="N15" i="7"/>
  <c r="M15" i="7"/>
  <c r="L15" i="7"/>
  <c r="D15" i="7"/>
  <c r="G101" i="7"/>
  <c r="F101" i="7"/>
  <c r="E101" i="7"/>
  <c r="D101" i="7"/>
  <c r="G100" i="7"/>
  <c r="F100" i="7"/>
  <c r="E100" i="7"/>
  <c r="D100" i="7"/>
  <c r="G99" i="7"/>
  <c r="F99" i="7"/>
  <c r="E99" i="7"/>
  <c r="D99" i="7"/>
  <c r="G20" i="7"/>
  <c r="F20" i="7"/>
  <c r="E20" i="7"/>
  <c r="D20" i="7"/>
  <c r="G19" i="7"/>
  <c r="F19" i="7"/>
  <c r="E19" i="7"/>
  <c r="D19" i="7"/>
  <c r="G18" i="7"/>
  <c r="F18" i="7"/>
  <c r="E18" i="7"/>
  <c r="D18" i="7"/>
  <c r="U20" i="7"/>
  <c r="T20" i="7"/>
  <c r="S20" i="7"/>
  <c r="R20" i="7"/>
  <c r="Q20" i="7"/>
  <c r="P20" i="7"/>
  <c r="O20" i="7"/>
  <c r="N20" i="7"/>
  <c r="M20" i="7"/>
  <c r="L20" i="7"/>
  <c r="U19" i="7"/>
  <c r="T19" i="7"/>
  <c r="S19" i="7"/>
  <c r="R19" i="7"/>
  <c r="Q19" i="7"/>
  <c r="P19" i="7"/>
  <c r="O19" i="7"/>
  <c r="N19" i="7"/>
  <c r="M19" i="7"/>
  <c r="L19" i="7"/>
  <c r="U18" i="7"/>
  <c r="T18" i="7"/>
  <c r="S18" i="7"/>
  <c r="R18" i="7"/>
  <c r="Q18" i="7"/>
  <c r="P18" i="7"/>
  <c r="O18" i="7"/>
  <c r="N18" i="7"/>
  <c r="M18" i="7"/>
  <c r="L18" i="7"/>
  <c r="U22" i="7"/>
  <c r="T22" i="7"/>
  <c r="S22" i="7"/>
  <c r="R22" i="7"/>
  <c r="Q22" i="7"/>
  <c r="P22" i="7"/>
  <c r="O22" i="7"/>
  <c r="N22" i="7"/>
  <c r="M22" i="7"/>
  <c r="L22" i="7"/>
  <c r="D120" i="7"/>
  <c r="E120" i="7"/>
  <c r="F120" i="7"/>
  <c r="G120" i="7"/>
  <c r="X119" i="7"/>
  <c r="W119" i="7"/>
  <c r="V119" i="7"/>
  <c r="U119" i="7"/>
  <c r="T119" i="7"/>
  <c r="S119" i="7"/>
  <c r="R119" i="7"/>
  <c r="Q119" i="7"/>
  <c r="P119" i="7"/>
  <c r="O119" i="7"/>
  <c r="N119" i="7"/>
  <c r="M119" i="7"/>
  <c r="L119" i="7"/>
  <c r="B22" i="7"/>
  <c r="F118" i="7"/>
  <c r="E118" i="7"/>
  <c r="D118" i="7"/>
  <c r="G118" i="7"/>
  <c r="G117" i="7"/>
  <c r="F117" i="7"/>
  <c r="E117" i="7"/>
  <c r="D117" i="7"/>
  <c r="F112" i="7"/>
  <c r="E112" i="7"/>
  <c r="D112" i="7"/>
  <c r="G112" i="7"/>
  <c r="F111" i="7"/>
  <c r="E111" i="7"/>
  <c r="D111" i="7"/>
  <c r="G111" i="7"/>
  <c r="X121" i="7"/>
  <c r="W121" i="7"/>
  <c r="V121" i="7"/>
  <c r="U121" i="7"/>
  <c r="T121" i="7"/>
  <c r="S121" i="7"/>
  <c r="R121" i="7"/>
  <c r="Q121" i="7"/>
  <c r="P121" i="7"/>
  <c r="O121" i="7"/>
  <c r="N121" i="7"/>
  <c r="M121" i="7"/>
  <c r="L121" i="7"/>
  <c r="X85" i="7"/>
  <c r="W85" i="7"/>
  <c r="V85" i="7"/>
  <c r="U85" i="7"/>
  <c r="T85" i="7"/>
  <c r="S85" i="7"/>
  <c r="R85" i="7"/>
  <c r="Q85" i="7"/>
  <c r="P85" i="7"/>
  <c r="O85" i="7"/>
  <c r="N85" i="7"/>
  <c r="M85" i="7"/>
  <c r="L85" i="7"/>
  <c r="X108" i="7"/>
  <c r="W108" i="7"/>
  <c r="V108" i="7"/>
  <c r="U108" i="7"/>
  <c r="T108" i="7"/>
  <c r="S108" i="7"/>
  <c r="R108" i="7"/>
  <c r="Q108" i="7"/>
  <c r="P108" i="7"/>
  <c r="O108" i="7"/>
  <c r="N108" i="7"/>
  <c r="M108" i="7"/>
  <c r="L108" i="7"/>
  <c r="G42" i="7"/>
  <c r="F42" i="7"/>
  <c r="E42" i="7"/>
  <c r="D42" i="7"/>
  <c r="U16" i="7"/>
  <c r="M16" i="7"/>
  <c r="F37" i="7"/>
  <c r="E37" i="7"/>
  <c r="D37" i="7"/>
  <c r="G37" i="7"/>
  <c r="G35" i="7"/>
  <c r="F35" i="7"/>
  <c r="E35" i="7"/>
  <c r="D35" i="7"/>
  <c r="F33" i="7"/>
  <c r="E33" i="7"/>
  <c r="D33" i="7"/>
  <c r="G33" i="7"/>
  <c r="F31" i="7"/>
  <c r="E31" i="7"/>
  <c r="D31" i="7"/>
  <c r="G31" i="7"/>
  <c r="U14" i="7"/>
  <c r="T14" i="7"/>
  <c r="S14" i="7"/>
  <c r="R14" i="7"/>
  <c r="Q14" i="7"/>
  <c r="P14" i="7"/>
  <c r="O14" i="7"/>
  <c r="N14" i="7"/>
  <c r="M14" i="7"/>
  <c r="L14" i="7"/>
  <c r="X30" i="7"/>
  <c r="X34" i="7"/>
  <c r="X39" i="7"/>
  <c r="X41" i="7"/>
  <c r="X43" i="7"/>
  <c r="W30" i="7"/>
  <c r="W34" i="7"/>
  <c r="W39" i="7"/>
  <c r="W41" i="7"/>
  <c r="W43" i="7"/>
  <c r="V30" i="7"/>
  <c r="V34" i="7"/>
  <c r="V39" i="7"/>
  <c r="V41" i="7"/>
  <c r="V43" i="7"/>
  <c r="U30" i="7"/>
  <c r="U34" i="7"/>
  <c r="U39" i="7"/>
  <c r="U41" i="7"/>
  <c r="U43" i="7"/>
  <c r="T30" i="7"/>
  <c r="T34" i="7"/>
  <c r="T39" i="7"/>
  <c r="T41" i="7"/>
  <c r="T43" i="7"/>
  <c r="S30" i="7"/>
  <c r="S34" i="7"/>
  <c r="S39" i="7"/>
  <c r="S41" i="7"/>
  <c r="S43" i="7"/>
  <c r="R30" i="7"/>
  <c r="R34" i="7"/>
  <c r="R39" i="7"/>
  <c r="R41" i="7"/>
  <c r="R43" i="7"/>
  <c r="Q30" i="7"/>
  <c r="Q34" i="7"/>
  <c r="Q39" i="7"/>
  <c r="Q41" i="7"/>
  <c r="Q43" i="7"/>
  <c r="P30" i="7"/>
  <c r="P34" i="7"/>
  <c r="P39" i="7"/>
  <c r="P41" i="7"/>
  <c r="P43" i="7"/>
  <c r="O30" i="7"/>
  <c r="O34" i="7"/>
  <c r="O39" i="7"/>
  <c r="O41" i="7"/>
  <c r="O43" i="7"/>
  <c r="N30" i="7"/>
  <c r="N34" i="7"/>
  <c r="N39" i="7"/>
  <c r="N41" i="7"/>
  <c r="N43" i="7"/>
  <c r="M30" i="7"/>
  <c r="M34" i="7"/>
  <c r="M39" i="7"/>
  <c r="M41" i="7"/>
  <c r="M43" i="7"/>
  <c r="L30" i="7"/>
  <c r="L13" i="7"/>
  <c r="U13" i="7"/>
  <c r="T13" i="7"/>
  <c r="S13" i="7"/>
  <c r="R13" i="7"/>
  <c r="Q13" i="7"/>
  <c r="P13" i="7"/>
  <c r="O13" i="7"/>
  <c r="N13" i="7"/>
  <c r="D13" i="7"/>
  <c r="M13" i="7"/>
  <c r="U12" i="7"/>
  <c r="T12" i="7"/>
  <c r="S12" i="7"/>
  <c r="R12" i="7"/>
  <c r="Q12" i="7"/>
  <c r="P12" i="7"/>
  <c r="O12" i="7"/>
  <c r="N12" i="7"/>
  <c r="M12" i="7"/>
  <c r="L12" i="7"/>
  <c r="D94" i="8"/>
  <c r="E94" i="8"/>
  <c r="F94" i="8"/>
  <c r="G94" i="8"/>
  <c r="X38" i="8"/>
  <c r="W38" i="8"/>
  <c r="V38" i="8"/>
  <c r="U38" i="8"/>
  <c r="T38" i="8"/>
  <c r="S38" i="8"/>
  <c r="R38" i="8"/>
  <c r="Q38" i="8"/>
  <c r="P38" i="8"/>
  <c r="O38" i="8"/>
  <c r="N38" i="8"/>
  <c r="L38" i="8"/>
  <c r="X111" i="8"/>
  <c r="W111" i="8"/>
  <c r="V111" i="8"/>
  <c r="U111" i="8"/>
  <c r="U25" i="8"/>
  <c r="T111" i="8"/>
  <c r="S111" i="8"/>
  <c r="S25" i="8"/>
  <c r="R111" i="8"/>
  <c r="R25" i="8"/>
  <c r="Q111" i="8"/>
  <c r="Q25" i="8"/>
  <c r="P111" i="8"/>
  <c r="O111" i="8"/>
  <c r="O25" i="8"/>
  <c r="N111" i="8"/>
  <c r="M111" i="8"/>
  <c r="M25" i="8"/>
  <c r="P25" i="8"/>
  <c r="L111" i="8"/>
  <c r="L25" i="8"/>
  <c r="T25" i="8"/>
  <c r="N25" i="8"/>
  <c r="U24" i="8"/>
  <c r="T24" i="8"/>
  <c r="S24" i="8"/>
  <c r="R24" i="8"/>
  <c r="Q24" i="8"/>
  <c r="P24" i="8"/>
  <c r="O24" i="8"/>
  <c r="N24" i="8"/>
  <c r="M24" i="8"/>
  <c r="L24" i="8"/>
  <c r="R23" i="8"/>
  <c r="Q23" i="8"/>
  <c r="P23" i="8"/>
  <c r="O23" i="8"/>
  <c r="N23" i="8"/>
  <c r="M23" i="8"/>
  <c r="L23" i="8"/>
  <c r="U22" i="8"/>
  <c r="T22" i="8"/>
  <c r="S22" i="8"/>
  <c r="R22" i="8"/>
  <c r="Q22" i="8"/>
  <c r="P22" i="8"/>
  <c r="O22" i="8"/>
  <c r="N22" i="8"/>
  <c r="M22" i="8"/>
  <c r="L22" i="8"/>
  <c r="B25" i="8"/>
  <c r="B24" i="8"/>
  <c r="B23" i="8"/>
  <c r="B22" i="8"/>
  <c r="Q18" i="8"/>
  <c r="L15" i="8"/>
  <c r="T15" i="8"/>
  <c r="S15" i="8"/>
  <c r="R15" i="8"/>
  <c r="Q15" i="8"/>
  <c r="P15" i="8"/>
  <c r="O15" i="8"/>
  <c r="N15" i="8"/>
  <c r="M15" i="8"/>
  <c r="U14" i="8"/>
  <c r="T14" i="8"/>
  <c r="S14" i="8"/>
  <c r="R14" i="8"/>
  <c r="Q14" i="8"/>
  <c r="P14" i="8"/>
  <c r="O14" i="8"/>
  <c r="N14" i="8"/>
  <c r="M14" i="8"/>
  <c r="L14" i="8"/>
  <c r="U13" i="8"/>
  <c r="T13" i="8"/>
  <c r="S13" i="8"/>
  <c r="R13" i="8"/>
  <c r="Q13" i="8"/>
  <c r="P13" i="8"/>
  <c r="O13" i="8"/>
  <c r="N13" i="8"/>
  <c r="M13" i="8"/>
  <c r="L13" i="8"/>
  <c r="L12" i="8"/>
  <c r="U12" i="8"/>
  <c r="T12" i="8"/>
  <c r="S12" i="8"/>
  <c r="R12" i="8"/>
  <c r="Q12" i="8"/>
  <c r="P12" i="8"/>
  <c r="O12" i="8"/>
  <c r="N12" i="8"/>
  <c r="M12" i="8"/>
  <c r="U11" i="8"/>
  <c r="T11" i="8"/>
  <c r="S11" i="8"/>
  <c r="R11" i="8"/>
  <c r="Q11" i="8"/>
  <c r="P11" i="8"/>
  <c r="O11" i="8"/>
  <c r="N11" i="8"/>
  <c r="M11" i="8"/>
  <c r="L11" i="8"/>
  <c r="L9" i="10"/>
  <c r="L44" i="8"/>
  <c r="L16" i="8"/>
  <c r="F106" i="8"/>
  <c r="E106" i="8"/>
  <c r="D106" i="8"/>
  <c r="G106" i="8"/>
  <c r="X86" i="8"/>
  <c r="X103" i="8"/>
  <c r="W86" i="8"/>
  <c r="W103" i="8"/>
  <c r="V86" i="8"/>
  <c r="V103" i="8"/>
  <c r="U86" i="8"/>
  <c r="U103" i="8"/>
  <c r="T86" i="8"/>
  <c r="T103" i="8"/>
  <c r="S86" i="8"/>
  <c r="S103" i="8"/>
  <c r="R86" i="8"/>
  <c r="R103" i="8"/>
  <c r="Q86" i="8"/>
  <c r="Q103" i="8"/>
  <c r="P86" i="8"/>
  <c r="P103" i="8"/>
  <c r="O86" i="8"/>
  <c r="O103" i="8"/>
  <c r="N86" i="8"/>
  <c r="N103" i="8"/>
  <c r="M86" i="8"/>
  <c r="M103" i="8"/>
  <c r="L86" i="8"/>
  <c r="L103" i="8"/>
  <c r="X65" i="8"/>
  <c r="X75" i="8"/>
  <c r="W65" i="8"/>
  <c r="W75" i="8"/>
  <c r="V65" i="8"/>
  <c r="V75" i="8"/>
  <c r="U65" i="8"/>
  <c r="U75" i="8"/>
  <c r="U19" i="8"/>
  <c r="T65" i="8"/>
  <c r="T75" i="8"/>
  <c r="T19" i="8"/>
  <c r="S65" i="8"/>
  <c r="S75" i="8"/>
  <c r="S19" i="8"/>
  <c r="R65" i="8"/>
  <c r="R75" i="8"/>
  <c r="R19" i="8"/>
  <c r="Q65" i="8"/>
  <c r="Q75" i="8"/>
  <c r="Q19" i="8"/>
  <c r="P65" i="8"/>
  <c r="P75" i="8"/>
  <c r="P19" i="8"/>
  <c r="O65" i="8"/>
  <c r="O75" i="8"/>
  <c r="O19" i="8"/>
  <c r="N65" i="8"/>
  <c r="N75" i="8"/>
  <c r="N19" i="8"/>
  <c r="M65" i="8"/>
  <c r="M75" i="8"/>
  <c r="M19" i="8"/>
  <c r="L65" i="8"/>
  <c r="L75" i="8"/>
  <c r="L19" i="8"/>
  <c r="X33" i="8"/>
  <c r="X44" i="8"/>
  <c r="X46" i="8"/>
  <c r="W33" i="8"/>
  <c r="W44" i="8"/>
  <c r="W46" i="8"/>
  <c r="V33" i="8"/>
  <c r="V44" i="8"/>
  <c r="V46" i="8"/>
  <c r="U33" i="8"/>
  <c r="U44" i="8"/>
  <c r="U46" i="8"/>
  <c r="T33" i="8"/>
  <c r="T44" i="8"/>
  <c r="T46" i="8"/>
  <c r="S33" i="8"/>
  <c r="S44" i="8"/>
  <c r="S46" i="8"/>
  <c r="R33" i="8"/>
  <c r="Q33" i="8"/>
  <c r="P33" i="8"/>
  <c r="P44" i="8"/>
  <c r="P46" i="8"/>
  <c r="O33" i="8"/>
  <c r="O44" i="8"/>
  <c r="O46" i="8"/>
  <c r="N33" i="8"/>
  <c r="N44" i="8"/>
  <c r="N46" i="8"/>
  <c r="M33" i="8"/>
  <c r="M38" i="8"/>
  <c r="M44" i="8"/>
  <c r="M46" i="8"/>
  <c r="L33" i="8"/>
  <c r="G15" i="7"/>
  <c r="G36" i="7"/>
  <c r="G38" i="7"/>
  <c r="F15" i="7"/>
  <c r="F36" i="7"/>
  <c r="F38" i="7"/>
  <c r="E15" i="7"/>
  <c r="N16" i="7"/>
  <c r="G13" i="7"/>
  <c r="O16" i="7"/>
  <c r="F13" i="7"/>
  <c r="F14" i="7"/>
  <c r="P16" i="7"/>
  <c r="E13" i="7"/>
  <c r="Q16" i="7"/>
  <c r="R16" i="7"/>
  <c r="S16" i="7"/>
  <c r="T16" i="7"/>
  <c r="D36" i="7"/>
  <c r="D38" i="7"/>
  <c r="E36" i="7"/>
  <c r="E38" i="7"/>
  <c r="E14" i="7"/>
  <c r="G14" i="7"/>
  <c r="D14" i="7"/>
  <c r="L34" i="7"/>
  <c r="L39" i="7"/>
  <c r="G12" i="7"/>
  <c r="G28" i="7"/>
  <c r="F12" i="7"/>
  <c r="F28" i="7"/>
  <c r="D12" i="7"/>
  <c r="E12" i="7"/>
  <c r="E28" i="7"/>
  <c r="S20" i="8"/>
  <c r="Q44" i="8"/>
  <c r="Q46" i="8"/>
  <c r="R44" i="8"/>
  <c r="R46" i="8"/>
  <c r="G19" i="8"/>
  <c r="D19" i="8"/>
  <c r="R18" i="8"/>
  <c r="T18" i="8"/>
  <c r="E15" i="8"/>
  <c r="E43" i="8"/>
  <c r="R16" i="8"/>
  <c r="R20" i="8"/>
  <c r="E19" i="8"/>
  <c r="F19" i="8"/>
  <c r="S18" i="8"/>
  <c r="L18" i="8"/>
  <c r="M18" i="8"/>
  <c r="U18" i="8"/>
  <c r="N18" i="8"/>
  <c r="G18" i="8"/>
  <c r="D18" i="8"/>
  <c r="O18" i="8"/>
  <c r="P18" i="8"/>
  <c r="G14" i="8"/>
  <c r="F14" i="8"/>
  <c r="F35" i="8"/>
  <c r="L20" i="8"/>
  <c r="T20" i="8"/>
  <c r="U20" i="8"/>
  <c r="N20" i="8"/>
  <c r="O20" i="8"/>
  <c r="M20" i="8"/>
  <c r="P20" i="8"/>
  <c r="Q20" i="8"/>
  <c r="D15" i="8"/>
  <c r="D43" i="8"/>
  <c r="F15" i="8"/>
  <c r="F43" i="8"/>
  <c r="S16" i="8"/>
  <c r="T16" i="8"/>
  <c r="E14" i="8"/>
  <c r="E35" i="8"/>
  <c r="M16" i="8"/>
  <c r="U16" i="8"/>
  <c r="N16" i="8"/>
  <c r="O16" i="8"/>
  <c r="G15" i="8"/>
  <c r="P16" i="8"/>
  <c r="Q16" i="8"/>
  <c r="F12" i="8"/>
  <c r="G13" i="8"/>
  <c r="D13" i="8"/>
  <c r="F13" i="8"/>
  <c r="G12" i="8"/>
  <c r="F11" i="8"/>
  <c r="F31" i="8"/>
  <c r="E12" i="8"/>
  <c r="E13" i="8"/>
  <c r="D12" i="8"/>
  <c r="G11" i="8"/>
  <c r="G31" i="8"/>
  <c r="D11" i="8"/>
  <c r="E11" i="8"/>
  <c r="E31" i="8"/>
  <c r="L46" i="8"/>
  <c r="G24" i="9"/>
  <c r="F24" i="9"/>
  <c r="E24" i="9"/>
  <c r="D24" i="9"/>
  <c r="G23" i="9"/>
  <c r="F23" i="9"/>
  <c r="E23" i="9"/>
  <c r="D23" i="9"/>
  <c r="F22" i="9"/>
  <c r="V30" i="9"/>
  <c r="U30" i="9"/>
  <c r="T30" i="9"/>
  <c r="S30" i="9"/>
  <c r="R30" i="9"/>
  <c r="Q30" i="9"/>
  <c r="P30" i="9"/>
  <c r="O30" i="9"/>
  <c r="N30" i="9"/>
  <c r="M30" i="9"/>
  <c r="L30" i="9"/>
  <c r="F30" i="9"/>
  <c r="G30" i="9"/>
  <c r="B37" i="9"/>
  <c r="B36" i="9"/>
  <c r="B35" i="9"/>
  <c r="L35" i="9"/>
  <c r="M35" i="9"/>
  <c r="N35" i="9"/>
  <c r="G35" i="9"/>
  <c r="G154" i="9"/>
  <c r="O35" i="9"/>
  <c r="P35" i="9"/>
  <c r="Q35" i="9"/>
  <c r="F35" i="9"/>
  <c r="F154" i="9"/>
  <c r="R35" i="9"/>
  <c r="S35" i="9"/>
  <c r="T35" i="9"/>
  <c r="U35" i="9"/>
  <c r="V35" i="9"/>
  <c r="V37" i="9"/>
  <c r="U37" i="9"/>
  <c r="T37" i="9"/>
  <c r="S37" i="9"/>
  <c r="R37" i="9"/>
  <c r="Q37" i="9"/>
  <c r="P37" i="9"/>
  <c r="O37" i="9"/>
  <c r="N37" i="9"/>
  <c r="M37" i="9"/>
  <c r="V36" i="9"/>
  <c r="U36" i="9"/>
  <c r="T36" i="9"/>
  <c r="S36" i="9"/>
  <c r="R36" i="9"/>
  <c r="Q36" i="9"/>
  <c r="P36" i="9"/>
  <c r="O36" i="9"/>
  <c r="N36" i="9"/>
  <c r="M36" i="9"/>
  <c r="L37" i="9"/>
  <c r="L36" i="9"/>
  <c r="F153" i="9"/>
  <c r="E153" i="9"/>
  <c r="D153" i="9"/>
  <c r="G153" i="9"/>
  <c r="V24" i="9"/>
  <c r="U24" i="9"/>
  <c r="T24" i="9"/>
  <c r="S24" i="9"/>
  <c r="R24" i="9"/>
  <c r="Q24" i="9"/>
  <c r="P24" i="9"/>
  <c r="O24" i="9"/>
  <c r="N24" i="9"/>
  <c r="M24" i="9"/>
  <c r="L24" i="9"/>
  <c r="B24" i="9"/>
  <c r="L23" i="9"/>
  <c r="M23" i="9"/>
  <c r="N23" i="9"/>
  <c r="O23" i="9"/>
  <c r="P23" i="9"/>
  <c r="Q23" i="9"/>
  <c r="R23" i="9"/>
  <c r="S23" i="9"/>
  <c r="T23" i="9"/>
  <c r="U23" i="9"/>
  <c r="V23" i="9"/>
  <c r="B23" i="9"/>
  <c r="V22" i="9"/>
  <c r="U22" i="9"/>
  <c r="T22" i="9"/>
  <c r="S22" i="9"/>
  <c r="R22" i="9"/>
  <c r="Q22" i="9"/>
  <c r="P22" i="9"/>
  <c r="O22" i="9"/>
  <c r="N22" i="9"/>
  <c r="M22" i="9"/>
  <c r="L22" i="9"/>
  <c r="E22" i="9"/>
  <c r="G59" i="9"/>
  <c r="F59" i="9"/>
  <c r="E59" i="9"/>
  <c r="D59" i="9"/>
  <c r="D68" i="6"/>
  <c r="D63" i="6"/>
  <c r="G61" i="6"/>
  <c r="F61" i="6"/>
  <c r="E61" i="6"/>
  <c r="D61" i="6"/>
  <c r="G33" i="6"/>
  <c r="F33" i="6"/>
  <c r="E33" i="6"/>
  <c r="D33" i="6"/>
  <c r="D61" i="9"/>
  <c r="F61" i="9"/>
  <c r="E61" i="9"/>
  <c r="G61" i="9"/>
  <c r="G58" i="9"/>
  <c r="F58" i="9"/>
  <c r="E58" i="9"/>
  <c r="D58" i="9"/>
  <c r="G57" i="9"/>
  <c r="F57" i="9"/>
  <c r="E57" i="9"/>
  <c r="D57" i="9"/>
  <c r="G56" i="9"/>
  <c r="F56" i="9"/>
  <c r="E56" i="9"/>
  <c r="D56" i="9"/>
  <c r="F55" i="9"/>
  <c r="E55" i="9"/>
  <c r="D55" i="9"/>
  <c r="G55" i="9"/>
  <c r="V20" i="9"/>
  <c r="U20" i="9"/>
  <c r="T20" i="9"/>
  <c r="S20" i="9"/>
  <c r="R20" i="9"/>
  <c r="Q20" i="9"/>
  <c r="P20" i="9"/>
  <c r="O20" i="9"/>
  <c r="N20" i="9"/>
  <c r="M20" i="9"/>
  <c r="L20" i="9"/>
  <c r="V19" i="9"/>
  <c r="U19" i="9"/>
  <c r="T19" i="9"/>
  <c r="S19" i="9"/>
  <c r="R19" i="9"/>
  <c r="Q19" i="9"/>
  <c r="P19" i="9"/>
  <c r="O19" i="9"/>
  <c r="N19" i="9"/>
  <c r="M19" i="9"/>
  <c r="L19" i="9"/>
  <c r="V18" i="9"/>
  <c r="U18" i="9"/>
  <c r="T18" i="9"/>
  <c r="S18" i="9"/>
  <c r="R18" i="9"/>
  <c r="Q18" i="9"/>
  <c r="P18" i="9"/>
  <c r="O18" i="9"/>
  <c r="N18" i="9"/>
  <c r="M18" i="9"/>
  <c r="L18" i="9"/>
  <c r="V17" i="9"/>
  <c r="U17" i="9"/>
  <c r="T17" i="9"/>
  <c r="S17" i="9"/>
  <c r="R17" i="9"/>
  <c r="Q17" i="9"/>
  <c r="P17" i="9"/>
  <c r="O17" i="9"/>
  <c r="N17" i="9"/>
  <c r="M17" i="9"/>
  <c r="L17" i="9"/>
  <c r="V15" i="9"/>
  <c r="U15" i="9"/>
  <c r="T15" i="9"/>
  <c r="S15" i="9"/>
  <c r="R15" i="9"/>
  <c r="Q15" i="9"/>
  <c r="P15" i="9"/>
  <c r="O15" i="9"/>
  <c r="N15" i="9"/>
  <c r="M15" i="9"/>
  <c r="L15" i="9"/>
  <c r="V14" i="9"/>
  <c r="U14" i="9"/>
  <c r="T14" i="9"/>
  <c r="S14" i="9"/>
  <c r="R14" i="9"/>
  <c r="Q14" i="9"/>
  <c r="P14" i="9"/>
  <c r="O14" i="9"/>
  <c r="N14" i="9"/>
  <c r="M14" i="9"/>
  <c r="L14" i="9"/>
  <c r="V13" i="9"/>
  <c r="U13" i="9"/>
  <c r="T13" i="9"/>
  <c r="S13" i="9"/>
  <c r="R13" i="9"/>
  <c r="Q13" i="9"/>
  <c r="P13" i="9"/>
  <c r="O13" i="9"/>
  <c r="N13" i="9"/>
  <c r="M13" i="9"/>
  <c r="L13" i="9"/>
  <c r="V12" i="9"/>
  <c r="U12" i="9"/>
  <c r="T12" i="9"/>
  <c r="S12" i="9"/>
  <c r="R12" i="9"/>
  <c r="Q12" i="9"/>
  <c r="P12" i="9"/>
  <c r="O12" i="9"/>
  <c r="N12" i="9"/>
  <c r="M12" i="9"/>
  <c r="L12" i="9"/>
  <c r="V11" i="9"/>
  <c r="U11" i="9"/>
  <c r="T11" i="9"/>
  <c r="S11" i="9"/>
  <c r="R11" i="9"/>
  <c r="Q11" i="9"/>
  <c r="P11" i="9"/>
  <c r="O11" i="9"/>
  <c r="N11" i="9"/>
  <c r="M11" i="9"/>
  <c r="L11" i="9"/>
  <c r="L11" i="6"/>
  <c r="M11" i="6"/>
  <c r="N11" i="6"/>
  <c r="O11" i="6"/>
  <c r="B20" i="9"/>
  <c r="B19" i="9"/>
  <c r="B18" i="9"/>
  <c r="B17" i="9"/>
  <c r="B15" i="9"/>
  <c r="B14" i="9"/>
  <c r="B13" i="9"/>
  <c r="B12" i="9"/>
  <c r="B11" i="9"/>
  <c r="L48" i="9"/>
  <c r="M48" i="9"/>
  <c r="N48" i="9"/>
  <c r="O48" i="9"/>
  <c r="P48" i="9"/>
  <c r="Q48" i="9"/>
  <c r="R48" i="9"/>
  <c r="S48" i="9"/>
  <c r="T48" i="9"/>
  <c r="U48" i="9"/>
  <c r="V48" i="9"/>
  <c r="V54" i="9"/>
  <c r="V62" i="9"/>
  <c r="V66" i="9"/>
  <c r="V68" i="9"/>
  <c r="V70" i="9"/>
  <c r="W48" i="9"/>
  <c r="X48" i="9"/>
  <c r="Y48" i="9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L53" i="9"/>
  <c r="Y101" i="9"/>
  <c r="X101" i="9"/>
  <c r="W101" i="9"/>
  <c r="V101" i="9"/>
  <c r="V28" i="9"/>
  <c r="U101" i="9"/>
  <c r="U28" i="9"/>
  <c r="T101" i="9"/>
  <c r="T28" i="9"/>
  <c r="S101" i="9"/>
  <c r="S28" i="9"/>
  <c r="R101" i="9"/>
  <c r="R28" i="9"/>
  <c r="Q101" i="9"/>
  <c r="Q28" i="9"/>
  <c r="P101" i="9"/>
  <c r="P28" i="9"/>
  <c r="O101" i="9"/>
  <c r="O28" i="9"/>
  <c r="N101" i="9"/>
  <c r="N28" i="9"/>
  <c r="M101" i="9"/>
  <c r="M28" i="9"/>
  <c r="L101" i="9"/>
  <c r="L28" i="9"/>
  <c r="E28" i="9"/>
  <c r="Y131" i="9"/>
  <c r="X131" i="9"/>
  <c r="W131" i="9"/>
  <c r="V131" i="9"/>
  <c r="V32" i="9"/>
  <c r="U131" i="9"/>
  <c r="U32" i="9"/>
  <c r="T131" i="9"/>
  <c r="T32" i="9"/>
  <c r="S131" i="9"/>
  <c r="S32" i="9"/>
  <c r="R131" i="9"/>
  <c r="R32" i="9"/>
  <c r="Q131" i="9"/>
  <c r="Q32" i="9"/>
  <c r="P131" i="9"/>
  <c r="P32" i="9"/>
  <c r="O131" i="9"/>
  <c r="O32" i="9"/>
  <c r="N131" i="9"/>
  <c r="N32" i="9"/>
  <c r="M131" i="9"/>
  <c r="M32" i="9"/>
  <c r="L131" i="9"/>
  <c r="L32" i="9"/>
  <c r="Y158" i="9"/>
  <c r="X158" i="9"/>
  <c r="W158" i="9"/>
  <c r="V158" i="9"/>
  <c r="U158" i="9"/>
  <c r="T158" i="9"/>
  <c r="S158" i="9"/>
  <c r="R158" i="9"/>
  <c r="Q158" i="9"/>
  <c r="P158" i="9"/>
  <c r="O158" i="9"/>
  <c r="N158" i="9"/>
  <c r="M158" i="9"/>
  <c r="L158" i="9"/>
  <c r="F63" i="6"/>
  <c r="E63" i="6"/>
  <c r="G63" i="6"/>
  <c r="G51" i="6"/>
  <c r="F51" i="6"/>
  <c r="E51" i="6"/>
  <c r="D51" i="6"/>
  <c r="G50" i="6"/>
  <c r="F50" i="6"/>
  <c r="E50" i="6"/>
  <c r="D50" i="6"/>
  <c r="U23" i="6"/>
  <c r="T23" i="6"/>
  <c r="S23" i="6"/>
  <c r="R23" i="6"/>
  <c r="Q23" i="6"/>
  <c r="P23" i="6"/>
  <c r="O23" i="6"/>
  <c r="N23" i="6"/>
  <c r="M23" i="6"/>
  <c r="L23" i="6"/>
  <c r="U22" i="6"/>
  <c r="T22" i="6"/>
  <c r="S22" i="6"/>
  <c r="R22" i="6"/>
  <c r="Q22" i="6"/>
  <c r="P22" i="6"/>
  <c r="O22" i="6"/>
  <c r="N22" i="6"/>
  <c r="M22" i="6"/>
  <c r="L22" i="6"/>
  <c r="G72" i="6"/>
  <c r="F72" i="6"/>
  <c r="E72" i="6"/>
  <c r="D72" i="6"/>
  <c r="F71" i="6"/>
  <c r="E71" i="6"/>
  <c r="D71" i="6"/>
  <c r="G71" i="6"/>
  <c r="E68" i="6"/>
  <c r="F68" i="6"/>
  <c r="G68" i="6"/>
  <c r="G67" i="6"/>
  <c r="F67" i="6"/>
  <c r="E67" i="6"/>
  <c r="D67" i="6"/>
  <c r="G62" i="6"/>
  <c r="F62" i="6"/>
  <c r="E62" i="6"/>
  <c r="D62" i="6"/>
  <c r="L69" i="6"/>
  <c r="U21" i="6"/>
  <c r="T21" i="6"/>
  <c r="S21" i="6"/>
  <c r="R21" i="6"/>
  <c r="Q21" i="6"/>
  <c r="P21" i="6"/>
  <c r="O21" i="6"/>
  <c r="N21" i="6"/>
  <c r="M21" i="6"/>
  <c r="L21" i="6"/>
  <c r="U20" i="6"/>
  <c r="T20" i="6"/>
  <c r="S20" i="6"/>
  <c r="R20" i="6"/>
  <c r="Q20" i="6"/>
  <c r="P20" i="6"/>
  <c r="O20" i="6"/>
  <c r="N20" i="6"/>
  <c r="M20" i="6"/>
  <c r="L20" i="6"/>
  <c r="U14" i="6"/>
  <c r="T14" i="6"/>
  <c r="S14" i="6"/>
  <c r="R14" i="6"/>
  <c r="Q14" i="6"/>
  <c r="P14" i="6"/>
  <c r="O14" i="6"/>
  <c r="N14" i="6"/>
  <c r="M14" i="6"/>
  <c r="L14" i="6"/>
  <c r="U15" i="6"/>
  <c r="T15" i="6"/>
  <c r="S15" i="6"/>
  <c r="R15" i="6"/>
  <c r="Q15" i="6"/>
  <c r="P15" i="6"/>
  <c r="O15" i="6"/>
  <c r="N15" i="6"/>
  <c r="M15" i="6"/>
  <c r="L15" i="6"/>
  <c r="X59" i="6"/>
  <c r="X64" i="6"/>
  <c r="W59" i="6"/>
  <c r="W64" i="6"/>
  <c r="V59" i="6"/>
  <c r="V64" i="6"/>
  <c r="U59" i="6"/>
  <c r="U19" i="6"/>
  <c r="T59" i="6"/>
  <c r="T64" i="6"/>
  <c r="S59" i="6"/>
  <c r="S64" i="6"/>
  <c r="R59" i="6"/>
  <c r="R19" i="6"/>
  <c r="Q59" i="6"/>
  <c r="Q64" i="6"/>
  <c r="P59" i="6"/>
  <c r="P64" i="6"/>
  <c r="O59" i="6"/>
  <c r="O64" i="6"/>
  <c r="N59" i="6"/>
  <c r="N19" i="6"/>
  <c r="M59" i="6"/>
  <c r="M19" i="6"/>
  <c r="L59" i="6"/>
  <c r="L64" i="6"/>
  <c r="U13" i="6"/>
  <c r="T13" i="6"/>
  <c r="S13" i="6"/>
  <c r="R13" i="6"/>
  <c r="Q13" i="6"/>
  <c r="P13" i="6"/>
  <c r="O13" i="6"/>
  <c r="N13" i="6"/>
  <c r="M13" i="6"/>
  <c r="L13" i="6"/>
  <c r="U12" i="6"/>
  <c r="T12" i="6"/>
  <c r="S12" i="6"/>
  <c r="R12" i="6"/>
  <c r="Q12" i="6"/>
  <c r="P12" i="6"/>
  <c r="O12" i="6"/>
  <c r="N12" i="6"/>
  <c r="M12" i="6"/>
  <c r="L12" i="6"/>
  <c r="U11" i="6"/>
  <c r="T11" i="6"/>
  <c r="S11" i="6"/>
  <c r="R11" i="6"/>
  <c r="Q11" i="6"/>
  <c r="P11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L37" i="6"/>
  <c r="X31" i="6"/>
  <c r="W31" i="6"/>
  <c r="W37" i="6"/>
  <c r="W39" i="6"/>
  <c r="V31" i="6"/>
  <c r="V37" i="6"/>
  <c r="V39" i="6"/>
  <c r="V41" i="6"/>
  <c r="U31" i="6"/>
  <c r="U37" i="6"/>
  <c r="T31" i="6"/>
  <c r="S31" i="6"/>
  <c r="S37" i="6"/>
  <c r="S16" i="6"/>
  <c r="R31" i="6"/>
  <c r="Q31" i="6"/>
  <c r="Q37" i="6"/>
  <c r="P31" i="6"/>
  <c r="O31" i="6"/>
  <c r="O37" i="6"/>
  <c r="N31" i="6"/>
  <c r="N37" i="6"/>
  <c r="M31" i="6"/>
  <c r="M37" i="6"/>
  <c r="L31" i="6"/>
  <c r="R64" i="6"/>
  <c r="X69" i="6"/>
  <c r="W69" i="6"/>
  <c r="V69" i="6"/>
  <c r="U69" i="6"/>
  <c r="T69" i="6"/>
  <c r="S69" i="6"/>
  <c r="R69" i="6"/>
  <c r="Q69" i="6"/>
  <c r="P69" i="6"/>
  <c r="O69" i="6"/>
  <c r="N69" i="6"/>
  <c r="M69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F20" i="6"/>
  <c r="P37" i="6"/>
  <c r="T37" i="6"/>
  <c r="X37" i="6"/>
  <c r="X39" i="6"/>
  <c r="R37" i="6"/>
  <c r="R16" i="6"/>
  <c r="G85" i="7"/>
  <c r="G29" i="7"/>
  <c r="G30" i="7"/>
  <c r="G34" i="7"/>
  <c r="G39" i="7"/>
  <c r="D28" i="7"/>
  <c r="G96" i="7"/>
  <c r="G65" i="7"/>
  <c r="E85" i="7"/>
  <c r="E29" i="7"/>
  <c r="E30" i="7"/>
  <c r="E34" i="7"/>
  <c r="E39" i="7"/>
  <c r="E96" i="7"/>
  <c r="E65" i="7"/>
  <c r="F85" i="7"/>
  <c r="F29" i="7"/>
  <c r="F30" i="7"/>
  <c r="F34" i="7"/>
  <c r="F39" i="7"/>
  <c r="F96" i="7"/>
  <c r="F65" i="7"/>
  <c r="F16" i="7"/>
  <c r="G16" i="7"/>
  <c r="E16" i="7"/>
  <c r="D16" i="7"/>
  <c r="L41" i="7"/>
  <c r="L43" i="7"/>
  <c r="L16" i="7"/>
  <c r="F75" i="8"/>
  <c r="E75" i="8"/>
  <c r="G75" i="8"/>
  <c r="G65" i="8"/>
  <c r="G32" i="8"/>
  <c r="G33" i="8"/>
  <c r="D31" i="8"/>
  <c r="G34" i="8"/>
  <c r="D14" i="8"/>
  <c r="D35" i="8"/>
  <c r="G35" i="8"/>
  <c r="E32" i="8"/>
  <c r="E33" i="8"/>
  <c r="E34" i="8"/>
  <c r="G43" i="8"/>
  <c r="F34" i="8"/>
  <c r="F32" i="8"/>
  <c r="F33" i="8"/>
  <c r="F18" i="8"/>
  <c r="F65" i="8"/>
  <c r="W19" i="8"/>
  <c r="E18" i="8"/>
  <c r="E65" i="8"/>
  <c r="F20" i="8"/>
  <c r="F86" i="8"/>
  <c r="G20" i="8"/>
  <c r="D20" i="8"/>
  <c r="E20" i="8"/>
  <c r="E86" i="8"/>
  <c r="W20" i="8"/>
  <c r="F16" i="8"/>
  <c r="E16" i="8"/>
  <c r="D16" i="8"/>
  <c r="G16" i="8"/>
  <c r="G22" i="9"/>
  <c r="D22" i="9"/>
  <c r="D30" i="9"/>
  <c r="E30" i="9"/>
  <c r="G32" i="9"/>
  <c r="F32" i="9"/>
  <c r="E32" i="9"/>
  <c r="D32" i="9"/>
  <c r="F28" i="9"/>
  <c r="G28" i="9"/>
  <c r="D28" i="9"/>
  <c r="D35" i="9"/>
  <c r="D154" i="9"/>
  <c r="E35" i="9"/>
  <c r="E154" i="9"/>
  <c r="G19" i="9"/>
  <c r="V26" i="9"/>
  <c r="V25" i="9"/>
  <c r="G13" i="9"/>
  <c r="G45" i="9"/>
  <c r="G17" i="9"/>
  <c r="D14" i="9"/>
  <c r="D11" i="9"/>
  <c r="D13" i="9"/>
  <c r="D20" i="9"/>
  <c r="R54" i="9"/>
  <c r="R62" i="9"/>
  <c r="R66" i="9"/>
  <c r="Y54" i="9"/>
  <c r="Y62" i="9"/>
  <c r="Y66" i="9"/>
  <c r="Y68" i="9"/>
  <c r="Y70" i="9"/>
  <c r="Q54" i="9"/>
  <c r="Q62" i="9"/>
  <c r="Q66" i="9"/>
  <c r="F13" i="9"/>
  <c r="F45" i="9"/>
  <c r="E13" i="9"/>
  <c r="E45" i="9"/>
  <c r="E17" i="9"/>
  <c r="W54" i="9"/>
  <c r="W62" i="9"/>
  <c r="W66" i="9"/>
  <c r="W68" i="9"/>
  <c r="W70" i="9"/>
  <c r="G20" i="9"/>
  <c r="G14" i="9"/>
  <c r="G46" i="9"/>
  <c r="G12" i="9"/>
  <c r="G44" i="9"/>
  <c r="D18" i="9"/>
  <c r="E18" i="9"/>
  <c r="D15" i="9"/>
  <c r="L54" i="9"/>
  <c r="L62" i="9"/>
  <c r="L66" i="9"/>
  <c r="G11" i="9"/>
  <c r="G43" i="9"/>
  <c r="G18" i="9"/>
  <c r="E11" i="9"/>
  <c r="E43" i="9"/>
  <c r="E14" i="9"/>
  <c r="E46" i="9"/>
  <c r="E20" i="9"/>
  <c r="F11" i="9"/>
  <c r="F43" i="9"/>
  <c r="F14" i="9"/>
  <c r="F46" i="9"/>
  <c r="F18" i="9"/>
  <c r="F20" i="9"/>
  <c r="O54" i="9"/>
  <c r="O62" i="9"/>
  <c r="O66" i="9"/>
  <c r="D17" i="9"/>
  <c r="D19" i="9"/>
  <c r="E19" i="9"/>
  <c r="F17" i="9"/>
  <c r="F19" i="9"/>
  <c r="E15" i="9"/>
  <c r="E47" i="9"/>
  <c r="F15" i="9"/>
  <c r="F47" i="9"/>
  <c r="G15" i="9"/>
  <c r="G47" i="9"/>
  <c r="D12" i="9"/>
  <c r="E12" i="9"/>
  <c r="E44" i="9"/>
  <c r="F12" i="9"/>
  <c r="F44" i="9"/>
  <c r="M54" i="9"/>
  <c r="M62" i="9"/>
  <c r="M66" i="9"/>
  <c r="P54" i="9"/>
  <c r="P62" i="9"/>
  <c r="P66" i="9"/>
  <c r="X54" i="9"/>
  <c r="X62" i="9"/>
  <c r="X66" i="9"/>
  <c r="X68" i="9"/>
  <c r="X70" i="9"/>
  <c r="N54" i="9"/>
  <c r="N62" i="9"/>
  <c r="N66" i="9"/>
  <c r="S54" i="9"/>
  <c r="S62" i="9"/>
  <c r="S66" i="9"/>
  <c r="T54" i="9"/>
  <c r="T62" i="9"/>
  <c r="T66" i="9"/>
  <c r="U54" i="9"/>
  <c r="U62" i="9"/>
  <c r="U66" i="9"/>
  <c r="P16" i="6"/>
  <c r="P39" i="6"/>
  <c r="P17" i="6"/>
  <c r="N16" i="6"/>
  <c r="N39" i="6"/>
  <c r="N41" i="6"/>
  <c r="Q16" i="6"/>
  <c r="Q39" i="6"/>
  <c r="Q17" i="6"/>
  <c r="L39" i="6"/>
  <c r="L41" i="6"/>
  <c r="L16" i="6"/>
  <c r="T16" i="6"/>
  <c r="T39" i="6"/>
  <c r="T17" i="6"/>
  <c r="O16" i="6"/>
  <c r="F16" i="6"/>
  <c r="O39" i="6"/>
  <c r="O41" i="6"/>
  <c r="M39" i="6"/>
  <c r="M41" i="6"/>
  <c r="M16" i="6"/>
  <c r="U16" i="6"/>
  <c r="U39" i="6"/>
  <c r="U41" i="6"/>
  <c r="G20" i="6"/>
  <c r="S39" i="6"/>
  <c r="S41" i="6"/>
  <c r="M64" i="6"/>
  <c r="U64" i="6"/>
  <c r="E21" i="6"/>
  <c r="G21" i="6"/>
  <c r="G14" i="6"/>
  <c r="N64" i="6"/>
  <c r="G15" i="6"/>
  <c r="G35" i="6"/>
  <c r="L19" i="6"/>
  <c r="P19" i="6"/>
  <c r="T19" i="6"/>
  <c r="L17" i="6"/>
  <c r="D20" i="6"/>
  <c r="O19" i="6"/>
  <c r="E20" i="6"/>
  <c r="D21" i="6"/>
  <c r="Q19" i="6"/>
  <c r="U17" i="6"/>
  <c r="S19" i="6"/>
  <c r="F21" i="6"/>
  <c r="E14" i="6"/>
  <c r="N17" i="6"/>
  <c r="D14" i="6"/>
  <c r="F14" i="6"/>
  <c r="D15" i="6"/>
  <c r="D35" i="6"/>
  <c r="E15" i="6"/>
  <c r="E35" i="6"/>
  <c r="F15" i="6"/>
  <c r="F35" i="6"/>
  <c r="D12" i="6"/>
  <c r="G12" i="6"/>
  <c r="G30" i="6"/>
  <c r="G13" i="6"/>
  <c r="E12" i="6"/>
  <c r="E30" i="6"/>
  <c r="F12" i="6"/>
  <c r="F30" i="6"/>
  <c r="D13" i="6"/>
  <c r="E13" i="6"/>
  <c r="F13" i="6"/>
  <c r="G70" i="5"/>
  <c r="F70" i="5"/>
  <c r="E70" i="5"/>
  <c r="D70" i="5"/>
  <c r="V19" i="5"/>
  <c r="U19" i="5"/>
  <c r="T19" i="5"/>
  <c r="S19" i="5"/>
  <c r="R19" i="5"/>
  <c r="Q19" i="5"/>
  <c r="P19" i="5"/>
  <c r="O19" i="5"/>
  <c r="N19" i="5"/>
  <c r="M19" i="5"/>
  <c r="L19" i="5"/>
  <c r="G64" i="5"/>
  <c r="F64" i="5"/>
  <c r="E64" i="5"/>
  <c r="D64" i="5"/>
  <c r="G62" i="5"/>
  <c r="F62" i="5"/>
  <c r="E62" i="5"/>
  <c r="D62" i="5"/>
  <c r="G56" i="5"/>
  <c r="F56" i="5"/>
  <c r="E56" i="5"/>
  <c r="D56" i="5"/>
  <c r="G99" i="5"/>
  <c r="F99" i="5"/>
  <c r="E99" i="5"/>
  <c r="D99" i="5"/>
  <c r="V37" i="5"/>
  <c r="U37" i="5"/>
  <c r="T37" i="5"/>
  <c r="S37" i="5"/>
  <c r="R37" i="5"/>
  <c r="Q37" i="5"/>
  <c r="P37" i="5"/>
  <c r="O37" i="5"/>
  <c r="N37" i="5"/>
  <c r="M37" i="5"/>
  <c r="L37" i="5"/>
  <c r="B37" i="5"/>
  <c r="V31" i="5"/>
  <c r="U31" i="5"/>
  <c r="T31" i="5"/>
  <c r="S31" i="5"/>
  <c r="R31" i="5"/>
  <c r="Q31" i="5"/>
  <c r="P31" i="5"/>
  <c r="O31" i="5"/>
  <c r="N31" i="5"/>
  <c r="M31" i="5"/>
  <c r="L31" i="5"/>
  <c r="B31" i="5"/>
  <c r="V39" i="5"/>
  <c r="U39" i="5"/>
  <c r="T39" i="5"/>
  <c r="S39" i="5"/>
  <c r="R39" i="5"/>
  <c r="Q39" i="5"/>
  <c r="P39" i="5"/>
  <c r="O39" i="5"/>
  <c r="N39" i="5"/>
  <c r="M39" i="5"/>
  <c r="L39" i="5"/>
  <c r="B39" i="5"/>
  <c r="D103" i="5"/>
  <c r="E103" i="5"/>
  <c r="F103" i="5"/>
  <c r="G103" i="5"/>
  <c r="D104" i="5"/>
  <c r="E104" i="5"/>
  <c r="F104" i="5"/>
  <c r="G104" i="5"/>
  <c r="D105" i="5"/>
  <c r="E105" i="5"/>
  <c r="F105" i="5"/>
  <c r="G105" i="5"/>
  <c r="D106" i="5"/>
  <c r="E106" i="5"/>
  <c r="F106" i="5"/>
  <c r="G106" i="5"/>
  <c r="D107" i="5"/>
  <c r="E107" i="5"/>
  <c r="F107" i="5"/>
  <c r="G107" i="5"/>
  <c r="D108" i="5"/>
  <c r="E108" i="5"/>
  <c r="F108" i="5"/>
  <c r="G108" i="5"/>
  <c r="R39" i="6"/>
  <c r="R41" i="6"/>
  <c r="E16" i="6"/>
  <c r="M17" i="6"/>
  <c r="D16" i="6"/>
  <c r="E40" i="7"/>
  <c r="E41" i="7"/>
  <c r="E43" i="7"/>
  <c r="F40" i="7"/>
  <c r="F41" i="7"/>
  <c r="F43" i="7"/>
  <c r="G40" i="7"/>
  <c r="G41" i="7"/>
  <c r="G43" i="7"/>
  <c r="G114" i="7"/>
  <c r="E86" i="7"/>
  <c r="G86" i="7"/>
  <c r="D85" i="7"/>
  <c r="D29" i="7"/>
  <c r="D30" i="7"/>
  <c r="D34" i="7"/>
  <c r="D39" i="7"/>
  <c r="D96" i="7"/>
  <c r="D65" i="7"/>
  <c r="F86" i="7"/>
  <c r="G76" i="8"/>
  <c r="E38" i="8"/>
  <c r="E44" i="8"/>
  <c r="E45" i="8"/>
  <c r="E46" i="8"/>
  <c r="E76" i="8"/>
  <c r="F76" i="8"/>
  <c r="G86" i="8"/>
  <c r="F38" i="8"/>
  <c r="F44" i="8"/>
  <c r="F45" i="8"/>
  <c r="F46" i="8"/>
  <c r="D86" i="8"/>
  <c r="D75" i="8"/>
  <c r="D65" i="8"/>
  <c r="D32" i="8"/>
  <c r="D33" i="8"/>
  <c r="D34" i="8"/>
  <c r="G38" i="8"/>
  <c r="G44" i="8"/>
  <c r="G109" i="9"/>
  <c r="F109" i="9"/>
  <c r="E109" i="9"/>
  <c r="F101" i="9"/>
  <c r="E101" i="9"/>
  <c r="G101" i="9"/>
  <c r="E131" i="9"/>
  <c r="F131" i="9"/>
  <c r="G131" i="9"/>
  <c r="G51" i="9"/>
  <c r="D45" i="9"/>
  <c r="D51" i="9"/>
  <c r="U68" i="9"/>
  <c r="U25" i="9"/>
  <c r="L68" i="9"/>
  <c r="L25" i="9"/>
  <c r="E50" i="9"/>
  <c r="F49" i="9"/>
  <c r="E51" i="9"/>
  <c r="D46" i="9"/>
  <c r="D52" i="9"/>
  <c r="S68" i="9"/>
  <c r="S25" i="9"/>
  <c r="Q68" i="9"/>
  <c r="Q25" i="9"/>
  <c r="N68" i="9"/>
  <c r="N25" i="9"/>
  <c r="P68" i="9"/>
  <c r="P25" i="9"/>
  <c r="R68" i="9"/>
  <c r="R25" i="9"/>
  <c r="O68" i="9"/>
  <c r="O25" i="9"/>
  <c r="T68" i="9"/>
  <c r="T25" i="9"/>
  <c r="M68" i="9"/>
  <c r="M25" i="9"/>
  <c r="E49" i="9"/>
  <c r="G48" i="9"/>
  <c r="G49" i="9"/>
  <c r="F51" i="9"/>
  <c r="D43" i="9"/>
  <c r="D44" i="9"/>
  <c r="D50" i="9"/>
  <c r="G50" i="9"/>
  <c r="G52" i="9"/>
  <c r="D47" i="9"/>
  <c r="F48" i="9"/>
  <c r="F50" i="9"/>
  <c r="F52" i="9"/>
  <c r="E52" i="9"/>
  <c r="E48" i="9"/>
  <c r="S17" i="6"/>
  <c r="F17" i="6"/>
  <c r="R17" i="6"/>
  <c r="D19" i="6"/>
  <c r="O17" i="6"/>
  <c r="E17" i="6"/>
  <c r="G16" i="6"/>
  <c r="G19" i="6"/>
  <c r="D30" i="6"/>
  <c r="F19" i="6"/>
  <c r="E19" i="6"/>
  <c r="V44" i="5"/>
  <c r="U44" i="5"/>
  <c r="T44" i="5"/>
  <c r="S44" i="5"/>
  <c r="R44" i="5"/>
  <c r="Q44" i="5"/>
  <c r="P44" i="5"/>
  <c r="O44" i="5"/>
  <c r="N44" i="5"/>
  <c r="M44" i="5"/>
  <c r="L44" i="5"/>
  <c r="B44" i="5"/>
  <c r="D114" i="5"/>
  <c r="E114" i="5"/>
  <c r="F114" i="5"/>
  <c r="G114" i="5"/>
  <c r="D115" i="5"/>
  <c r="E115" i="5"/>
  <c r="F115" i="5"/>
  <c r="G115" i="5"/>
  <c r="D116" i="5"/>
  <c r="E116" i="5"/>
  <c r="F116" i="5"/>
  <c r="G116" i="5"/>
  <c r="D122" i="5"/>
  <c r="E122" i="5"/>
  <c r="F122" i="5"/>
  <c r="G122" i="5"/>
  <c r="B43" i="5"/>
  <c r="V43" i="5"/>
  <c r="U43" i="5"/>
  <c r="T43" i="5"/>
  <c r="S43" i="5"/>
  <c r="R43" i="5"/>
  <c r="Q43" i="5"/>
  <c r="P43" i="5"/>
  <c r="O43" i="5"/>
  <c r="N43" i="5"/>
  <c r="M43" i="5"/>
  <c r="L43" i="5"/>
  <c r="D125" i="5"/>
  <c r="E125" i="5"/>
  <c r="F125" i="5"/>
  <c r="G125" i="5"/>
  <c r="D123" i="5"/>
  <c r="E123" i="5"/>
  <c r="F123" i="5"/>
  <c r="G123" i="5"/>
  <c r="F132" i="5"/>
  <c r="E132" i="5"/>
  <c r="D132" i="5"/>
  <c r="G132" i="5"/>
  <c r="V42" i="5"/>
  <c r="U42" i="5"/>
  <c r="T42" i="5"/>
  <c r="S42" i="5"/>
  <c r="R42" i="5"/>
  <c r="Q42" i="5"/>
  <c r="P42" i="5"/>
  <c r="O42" i="5"/>
  <c r="N42" i="5"/>
  <c r="M42" i="5"/>
  <c r="L42" i="5"/>
  <c r="F128" i="5"/>
  <c r="E128" i="5"/>
  <c r="D128" i="5"/>
  <c r="G128" i="5"/>
  <c r="G109" i="5"/>
  <c r="F109" i="5"/>
  <c r="E109" i="5"/>
  <c r="D109" i="5"/>
  <c r="V41" i="5"/>
  <c r="U41" i="5"/>
  <c r="T41" i="5"/>
  <c r="S41" i="5"/>
  <c r="R41" i="5"/>
  <c r="Q41" i="5"/>
  <c r="P41" i="5"/>
  <c r="O41" i="5"/>
  <c r="N41" i="5"/>
  <c r="M41" i="5"/>
  <c r="L41" i="5"/>
  <c r="B41" i="5"/>
  <c r="V36" i="5"/>
  <c r="U36" i="5"/>
  <c r="T36" i="5"/>
  <c r="S36" i="5"/>
  <c r="R36" i="5"/>
  <c r="Q36" i="5"/>
  <c r="P36" i="5"/>
  <c r="O36" i="5"/>
  <c r="N36" i="5"/>
  <c r="M36" i="5"/>
  <c r="V35" i="5"/>
  <c r="U35" i="5"/>
  <c r="T35" i="5"/>
  <c r="S35" i="5"/>
  <c r="R35" i="5"/>
  <c r="Q35" i="5"/>
  <c r="P35" i="5"/>
  <c r="O35" i="5"/>
  <c r="N35" i="5"/>
  <c r="M35" i="5"/>
  <c r="V34" i="5"/>
  <c r="U34" i="5"/>
  <c r="T34" i="5"/>
  <c r="S34" i="5"/>
  <c r="R34" i="5"/>
  <c r="Q34" i="5"/>
  <c r="P34" i="5"/>
  <c r="O34" i="5"/>
  <c r="N34" i="5"/>
  <c r="M34" i="5"/>
  <c r="V33" i="5"/>
  <c r="U33" i="5"/>
  <c r="T33" i="5"/>
  <c r="S33" i="5"/>
  <c r="R33" i="5"/>
  <c r="Q33" i="5"/>
  <c r="P33" i="5"/>
  <c r="O33" i="5"/>
  <c r="N33" i="5"/>
  <c r="M33" i="5"/>
  <c r="L36" i="5"/>
  <c r="L35" i="5"/>
  <c r="E35" i="5"/>
  <c r="L33" i="5"/>
  <c r="F33" i="5"/>
  <c r="V30" i="5"/>
  <c r="U30" i="5"/>
  <c r="T30" i="5"/>
  <c r="S30" i="5"/>
  <c r="R30" i="5"/>
  <c r="Q30" i="5"/>
  <c r="P30" i="5"/>
  <c r="O30" i="5"/>
  <c r="N30" i="5"/>
  <c r="M30" i="5"/>
  <c r="L30" i="5"/>
  <c r="B30" i="5"/>
  <c r="B36" i="5"/>
  <c r="V29" i="5"/>
  <c r="U29" i="5"/>
  <c r="T29" i="5"/>
  <c r="S29" i="5"/>
  <c r="R29" i="5"/>
  <c r="Q29" i="5"/>
  <c r="P29" i="5"/>
  <c r="O29" i="5"/>
  <c r="N29" i="5"/>
  <c r="M29" i="5"/>
  <c r="L29" i="5"/>
  <c r="B29" i="5"/>
  <c r="B35" i="5"/>
  <c r="V28" i="5"/>
  <c r="U28" i="5"/>
  <c r="T28" i="5"/>
  <c r="S28" i="5"/>
  <c r="R28" i="5"/>
  <c r="Q28" i="5"/>
  <c r="P28" i="5"/>
  <c r="O28" i="5"/>
  <c r="N28" i="5"/>
  <c r="M28" i="5"/>
  <c r="L28" i="5"/>
  <c r="B28" i="5"/>
  <c r="B34" i="5"/>
  <c r="V27" i="5"/>
  <c r="U27" i="5"/>
  <c r="T27" i="5"/>
  <c r="S27" i="5"/>
  <c r="R27" i="5"/>
  <c r="Q27" i="5"/>
  <c r="P27" i="5"/>
  <c r="O27" i="5"/>
  <c r="N27" i="5"/>
  <c r="M27" i="5"/>
  <c r="L27" i="5"/>
  <c r="B27" i="5"/>
  <c r="B33" i="5"/>
  <c r="V25" i="5"/>
  <c r="U25" i="5"/>
  <c r="T25" i="5"/>
  <c r="S25" i="5"/>
  <c r="R25" i="5"/>
  <c r="Q25" i="5"/>
  <c r="P25" i="5"/>
  <c r="O25" i="5"/>
  <c r="N25" i="5"/>
  <c r="M25" i="5"/>
  <c r="L25" i="5"/>
  <c r="B25" i="5"/>
  <c r="L24" i="5"/>
  <c r="M24" i="5"/>
  <c r="N24" i="5"/>
  <c r="O24" i="5"/>
  <c r="P24" i="5"/>
  <c r="Q24" i="5"/>
  <c r="R24" i="5"/>
  <c r="S24" i="5"/>
  <c r="T24" i="5"/>
  <c r="U24" i="5"/>
  <c r="V24" i="5"/>
  <c r="Y133" i="5"/>
  <c r="Y135" i="5"/>
  <c r="X133" i="5"/>
  <c r="X135" i="5"/>
  <c r="W133" i="5"/>
  <c r="W135" i="5"/>
  <c r="V133" i="5"/>
  <c r="U133" i="5"/>
  <c r="T133" i="5"/>
  <c r="S133" i="5"/>
  <c r="R133" i="5"/>
  <c r="Q133" i="5"/>
  <c r="P133" i="5"/>
  <c r="O133" i="5"/>
  <c r="N133" i="5"/>
  <c r="M133" i="5"/>
  <c r="L133" i="5"/>
  <c r="Y126" i="5"/>
  <c r="X126" i="5"/>
  <c r="W126" i="5"/>
  <c r="V126" i="5"/>
  <c r="U126" i="5"/>
  <c r="T126" i="5"/>
  <c r="Y109" i="5"/>
  <c r="X109" i="5"/>
  <c r="W109" i="5"/>
  <c r="V109" i="5"/>
  <c r="U109" i="5"/>
  <c r="T109" i="5"/>
  <c r="S109" i="5"/>
  <c r="R109" i="5"/>
  <c r="Q109" i="5"/>
  <c r="P109" i="5"/>
  <c r="O109" i="5"/>
  <c r="N109" i="5"/>
  <c r="M109" i="5"/>
  <c r="L109" i="5"/>
  <c r="Y102" i="5"/>
  <c r="X102" i="5"/>
  <c r="W102" i="5"/>
  <c r="V102" i="5"/>
  <c r="U102" i="5"/>
  <c r="T102" i="5"/>
  <c r="S102" i="5"/>
  <c r="R102" i="5"/>
  <c r="Q102" i="5"/>
  <c r="P102" i="5"/>
  <c r="O102" i="5"/>
  <c r="N102" i="5"/>
  <c r="M102" i="5"/>
  <c r="L102" i="5"/>
  <c r="Y96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Y90" i="5"/>
  <c r="X90" i="5"/>
  <c r="W90" i="5"/>
  <c r="V90" i="5"/>
  <c r="U90" i="5"/>
  <c r="T90" i="5"/>
  <c r="S90" i="5"/>
  <c r="R90" i="5"/>
  <c r="Q90" i="5"/>
  <c r="P90" i="5"/>
  <c r="O90" i="5"/>
  <c r="N90" i="5"/>
  <c r="M90" i="5"/>
  <c r="Y87" i="5"/>
  <c r="X87" i="5"/>
  <c r="W87" i="5"/>
  <c r="V87" i="5"/>
  <c r="U87" i="5"/>
  <c r="T87" i="5"/>
  <c r="S87" i="5"/>
  <c r="R87" i="5"/>
  <c r="Q87" i="5"/>
  <c r="P87" i="5"/>
  <c r="O87" i="5"/>
  <c r="N87" i="5"/>
  <c r="M87" i="5"/>
  <c r="L87" i="5"/>
  <c r="R119" i="5"/>
  <c r="R126" i="5"/>
  <c r="Q119" i="5"/>
  <c r="Q126" i="5"/>
  <c r="P119" i="5"/>
  <c r="P126" i="5"/>
  <c r="O119" i="5"/>
  <c r="O126" i="5"/>
  <c r="N119" i="5"/>
  <c r="N126" i="5"/>
  <c r="M119" i="5"/>
  <c r="M126" i="5"/>
  <c r="L119" i="5"/>
  <c r="L126" i="5"/>
  <c r="S119" i="5"/>
  <c r="S126" i="5"/>
  <c r="B24" i="5"/>
  <c r="V21" i="5"/>
  <c r="U21" i="5"/>
  <c r="T21" i="5"/>
  <c r="S21" i="5"/>
  <c r="R21" i="5"/>
  <c r="Q21" i="5"/>
  <c r="P21" i="5"/>
  <c r="O21" i="5"/>
  <c r="N21" i="5"/>
  <c r="M21" i="5"/>
  <c r="L21" i="5"/>
  <c r="F21" i="5"/>
  <c r="L20" i="5"/>
  <c r="M20" i="5"/>
  <c r="N20" i="5"/>
  <c r="O20" i="5"/>
  <c r="P20" i="5"/>
  <c r="Q20" i="5"/>
  <c r="R20" i="5"/>
  <c r="S20" i="5"/>
  <c r="T20" i="5"/>
  <c r="U20" i="5"/>
  <c r="V20" i="5"/>
  <c r="V18" i="5"/>
  <c r="U18" i="5"/>
  <c r="T18" i="5"/>
  <c r="S18" i="5"/>
  <c r="R18" i="5"/>
  <c r="Q18" i="5"/>
  <c r="P18" i="5"/>
  <c r="O18" i="5"/>
  <c r="N18" i="5"/>
  <c r="M18" i="5"/>
  <c r="L18" i="5"/>
  <c r="B17" i="5"/>
  <c r="V17" i="5"/>
  <c r="U17" i="5"/>
  <c r="T17" i="5"/>
  <c r="S17" i="5"/>
  <c r="R17" i="5"/>
  <c r="Q17" i="5"/>
  <c r="P17" i="5"/>
  <c r="O17" i="5"/>
  <c r="N17" i="5"/>
  <c r="M17" i="5"/>
  <c r="L17" i="5"/>
  <c r="V16" i="5"/>
  <c r="U16" i="5"/>
  <c r="T16" i="5"/>
  <c r="S16" i="5"/>
  <c r="R16" i="5"/>
  <c r="Q16" i="5"/>
  <c r="P16" i="5"/>
  <c r="O16" i="5"/>
  <c r="N16" i="5"/>
  <c r="M16" i="5"/>
  <c r="L16" i="5"/>
  <c r="B16" i="5"/>
  <c r="V14" i="5"/>
  <c r="U14" i="5"/>
  <c r="T14" i="5"/>
  <c r="S14" i="5"/>
  <c r="R14" i="5"/>
  <c r="Q14" i="5"/>
  <c r="P14" i="5"/>
  <c r="O14" i="5"/>
  <c r="N14" i="5"/>
  <c r="M14" i="5"/>
  <c r="L14" i="5"/>
  <c r="B14" i="5"/>
  <c r="V13" i="5"/>
  <c r="U13" i="5"/>
  <c r="T13" i="5"/>
  <c r="S13" i="5"/>
  <c r="R13" i="5"/>
  <c r="Q13" i="5"/>
  <c r="P13" i="5"/>
  <c r="O13" i="5"/>
  <c r="N13" i="5"/>
  <c r="M13" i="5"/>
  <c r="L13" i="5"/>
  <c r="B13" i="5"/>
  <c r="B12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V12" i="5"/>
  <c r="U12" i="5"/>
  <c r="T12" i="5"/>
  <c r="S12" i="5"/>
  <c r="R12" i="5"/>
  <c r="Q12" i="5"/>
  <c r="P12" i="5"/>
  <c r="O12" i="5"/>
  <c r="N12" i="5"/>
  <c r="M12" i="5"/>
  <c r="L12" i="5"/>
  <c r="V11" i="5"/>
  <c r="U11" i="5"/>
  <c r="T11" i="5"/>
  <c r="S11" i="5"/>
  <c r="R11" i="5"/>
  <c r="Q11" i="5"/>
  <c r="P11" i="5"/>
  <c r="O11" i="5"/>
  <c r="N11" i="5"/>
  <c r="M11" i="5"/>
  <c r="L11" i="5"/>
  <c r="V10" i="5"/>
  <c r="U10" i="5"/>
  <c r="T10" i="5"/>
  <c r="S10" i="5"/>
  <c r="R10" i="5"/>
  <c r="Q10" i="5"/>
  <c r="P10" i="5"/>
  <c r="O10" i="5"/>
  <c r="N10" i="5"/>
  <c r="M10" i="5"/>
  <c r="L10" i="5"/>
  <c r="B11" i="5"/>
  <c r="B10" i="5"/>
  <c r="B9" i="5"/>
  <c r="V9" i="5"/>
  <c r="U9" i="5"/>
  <c r="T9" i="5"/>
  <c r="S9" i="5"/>
  <c r="R9" i="5"/>
  <c r="Q9" i="5"/>
  <c r="P9" i="5"/>
  <c r="O9" i="5"/>
  <c r="N9" i="5"/>
  <c r="M9" i="5"/>
  <c r="L9" i="5"/>
  <c r="V8" i="5"/>
  <c r="U8" i="5"/>
  <c r="T8" i="5"/>
  <c r="S8" i="5"/>
  <c r="R8" i="5"/>
  <c r="Q8" i="5"/>
  <c r="P8" i="5"/>
  <c r="O8" i="5"/>
  <c r="N8" i="5"/>
  <c r="M8" i="5"/>
  <c r="L8" i="5"/>
  <c r="G57" i="10"/>
  <c r="F57" i="10"/>
  <c r="E57" i="10"/>
  <c r="D57" i="10"/>
  <c r="G56" i="10"/>
  <c r="F56" i="10"/>
  <c r="E56" i="10"/>
  <c r="D56" i="10"/>
  <c r="F55" i="10"/>
  <c r="E55" i="10"/>
  <c r="D55" i="10"/>
  <c r="G55" i="10"/>
  <c r="V13" i="10"/>
  <c r="U13" i="10"/>
  <c r="T13" i="10"/>
  <c r="S13" i="10"/>
  <c r="R13" i="10"/>
  <c r="Q13" i="10"/>
  <c r="P13" i="10"/>
  <c r="O13" i="10"/>
  <c r="N13" i="10"/>
  <c r="M13" i="10"/>
  <c r="L13" i="10"/>
  <c r="G46" i="10"/>
  <c r="G47" i="10"/>
  <c r="F47" i="10"/>
  <c r="E47" i="10"/>
  <c r="D47" i="10"/>
  <c r="F46" i="10"/>
  <c r="E46" i="10"/>
  <c r="D46" i="10"/>
  <c r="G104" i="10"/>
  <c r="F104" i="10"/>
  <c r="E104" i="10"/>
  <c r="D104" i="10"/>
  <c r="G103" i="10"/>
  <c r="F103" i="10"/>
  <c r="E103" i="10"/>
  <c r="D103" i="10"/>
  <c r="G102" i="10"/>
  <c r="F102" i="10"/>
  <c r="E102" i="10"/>
  <c r="D102" i="10"/>
  <c r="G101" i="10"/>
  <c r="F101" i="10"/>
  <c r="E101" i="10"/>
  <c r="D101" i="10"/>
  <c r="G100" i="10"/>
  <c r="F100" i="10"/>
  <c r="E100" i="10"/>
  <c r="D100" i="10"/>
  <c r="G99" i="10"/>
  <c r="F99" i="10"/>
  <c r="E99" i="10"/>
  <c r="D99" i="10"/>
  <c r="G98" i="10"/>
  <c r="F98" i="10"/>
  <c r="E98" i="10"/>
  <c r="D98" i="10"/>
  <c r="G97" i="10"/>
  <c r="F97" i="10"/>
  <c r="E97" i="10"/>
  <c r="D97" i="10"/>
  <c r="G96" i="10"/>
  <c r="F96" i="10"/>
  <c r="E96" i="10"/>
  <c r="D96" i="10"/>
  <c r="F77" i="10"/>
  <c r="E77" i="10"/>
  <c r="D77" i="10"/>
  <c r="G77" i="10"/>
  <c r="D107" i="10"/>
  <c r="E107" i="10"/>
  <c r="F107" i="10"/>
  <c r="G107" i="10"/>
  <c r="G111" i="10"/>
  <c r="F111" i="10"/>
  <c r="E111" i="10"/>
  <c r="D111" i="10"/>
  <c r="G109" i="10"/>
  <c r="F109" i="10"/>
  <c r="E109" i="10"/>
  <c r="D109" i="10"/>
  <c r="G108" i="10"/>
  <c r="F108" i="10"/>
  <c r="E108" i="10"/>
  <c r="D108" i="10"/>
  <c r="V36" i="10"/>
  <c r="U36" i="10"/>
  <c r="T36" i="10"/>
  <c r="S36" i="10"/>
  <c r="R36" i="10"/>
  <c r="Q36" i="10"/>
  <c r="P36" i="10"/>
  <c r="O36" i="10"/>
  <c r="N36" i="10"/>
  <c r="M36" i="10"/>
  <c r="L36" i="10"/>
  <c r="V35" i="10"/>
  <c r="U35" i="10"/>
  <c r="T35" i="10"/>
  <c r="S35" i="10"/>
  <c r="R35" i="10"/>
  <c r="Q35" i="10"/>
  <c r="P35" i="10"/>
  <c r="O35" i="10"/>
  <c r="N35" i="10"/>
  <c r="M35" i="10"/>
  <c r="L35" i="10"/>
  <c r="V34" i="10"/>
  <c r="U34" i="10"/>
  <c r="T34" i="10"/>
  <c r="S34" i="10"/>
  <c r="R34" i="10"/>
  <c r="Q34" i="10"/>
  <c r="P34" i="10"/>
  <c r="O34" i="10"/>
  <c r="N34" i="10"/>
  <c r="M34" i="10"/>
  <c r="L34" i="10"/>
  <c r="G34" i="10"/>
  <c r="V33" i="10"/>
  <c r="U33" i="10"/>
  <c r="T33" i="10"/>
  <c r="S33" i="10"/>
  <c r="R33" i="10"/>
  <c r="Q33" i="10"/>
  <c r="P33" i="10"/>
  <c r="O33" i="10"/>
  <c r="N33" i="10"/>
  <c r="M33" i="10"/>
  <c r="L33" i="10"/>
  <c r="V32" i="10"/>
  <c r="U32" i="10"/>
  <c r="T32" i="10"/>
  <c r="S32" i="10"/>
  <c r="R32" i="10"/>
  <c r="Q32" i="10"/>
  <c r="P32" i="10"/>
  <c r="O32" i="10"/>
  <c r="N32" i="10"/>
  <c r="M32" i="10"/>
  <c r="L32" i="10"/>
  <c r="F32" i="10"/>
  <c r="V31" i="10"/>
  <c r="U31" i="10"/>
  <c r="T31" i="10"/>
  <c r="S31" i="10"/>
  <c r="R31" i="10"/>
  <c r="Q31" i="10"/>
  <c r="P31" i="10"/>
  <c r="O31" i="10"/>
  <c r="N31" i="10"/>
  <c r="M31" i="10"/>
  <c r="L31" i="10"/>
  <c r="V30" i="10"/>
  <c r="U30" i="10"/>
  <c r="T30" i="10"/>
  <c r="S30" i="10"/>
  <c r="R30" i="10"/>
  <c r="Q30" i="10"/>
  <c r="P30" i="10"/>
  <c r="O30" i="10"/>
  <c r="N30" i="10"/>
  <c r="M30" i="10"/>
  <c r="B36" i="10"/>
  <c r="B35" i="10"/>
  <c r="B34" i="10"/>
  <c r="B33" i="10"/>
  <c r="B32" i="10"/>
  <c r="B31" i="10"/>
  <c r="B30" i="10"/>
  <c r="L30" i="10"/>
  <c r="D17" i="6"/>
  <c r="G17" i="6"/>
  <c r="D40" i="7"/>
  <c r="D41" i="7"/>
  <c r="D43" i="7"/>
  <c r="F114" i="7"/>
  <c r="E114" i="7"/>
  <c r="D86" i="7"/>
  <c r="D38" i="8"/>
  <c r="D44" i="8"/>
  <c r="D45" i="8"/>
  <c r="D46" i="8"/>
  <c r="D76" i="8"/>
  <c r="G45" i="8"/>
  <c r="G46" i="8"/>
  <c r="G109" i="8"/>
  <c r="F109" i="8"/>
  <c r="E109" i="8"/>
  <c r="D109" i="9"/>
  <c r="D101" i="9"/>
  <c r="D49" i="9"/>
  <c r="D53" i="9"/>
  <c r="D131" i="9"/>
  <c r="D48" i="9"/>
  <c r="G53" i="9"/>
  <c r="G54" i="9"/>
  <c r="R70" i="9"/>
  <c r="R26" i="9"/>
  <c r="U70" i="9"/>
  <c r="U26" i="9"/>
  <c r="M70" i="9"/>
  <c r="M26" i="9"/>
  <c r="P70" i="9"/>
  <c r="P26" i="9"/>
  <c r="F25" i="9"/>
  <c r="E25" i="9"/>
  <c r="D25" i="9"/>
  <c r="G25" i="9"/>
  <c r="N70" i="9"/>
  <c r="N26" i="9"/>
  <c r="F53" i="9"/>
  <c r="F54" i="9"/>
  <c r="T70" i="9"/>
  <c r="T26" i="9"/>
  <c r="O70" i="9"/>
  <c r="O26" i="9"/>
  <c r="Q70" i="9"/>
  <c r="Q26" i="9"/>
  <c r="L70" i="9"/>
  <c r="L26" i="9"/>
  <c r="S70" i="9"/>
  <c r="S26" i="9"/>
  <c r="E53" i="9"/>
  <c r="E54" i="9"/>
  <c r="D30" i="10"/>
  <c r="E30" i="10"/>
  <c r="G36" i="10"/>
  <c r="I39" i="5"/>
  <c r="J39" i="5"/>
  <c r="I37" i="5"/>
  <c r="H37" i="5"/>
  <c r="H39" i="5"/>
  <c r="O135" i="5"/>
  <c r="O45" i="5"/>
  <c r="Q135" i="5"/>
  <c r="Q45" i="5"/>
  <c r="P135" i="5"/>
  <c r="P45" i="5"/>
  <c r="R135" i="5"/>
  <c r="R45" i="5"/>
  <c r="S135" i="5"/>
  <c r="S45" i="5"/>
  <c r="L135" i="5"/>
  <c r="L45" i="5"/>
  <c r="T135" i="5"/>
  <c r="T45" i="5"/>
  <c r="M135" i="5"/>
  <c r="M45" i="5"/>
  <c r="U135" i="5"/>
  <c r="U45" i="5"/>
  <c r="N135" i="5"/>
  <c r="N45" i="5"/>
  <c r="V135" i="5"/>
  <c r="V45" i="5"/>
  <c r="J37" i="5"/>
  <c r="H31" i="5"/>
  <c r="J31" i="5"/>
  <c r="I31" i="5"/>
  <c r="H44" i="5"/>
  <c r="J42" i="5"/>
  <c r="J43" i="5"/>
  <c r="J44" i="5"/>
  <c r="I43" i="5"/>
  <c r="I44" i="5"/>
  <c r="H43" i="5"/>
  <c r="I42" i="5"/>
  <c r="H42" i="5"/>
  <c r="G41" i="5"/>
  <c r="J36" i="5"/>
  <c r="D35" i="5"/>
  <c r="F35" i="5"/>
  <c r="E33" i="5"/>
  <c r="G33" i="5"/>
  <c r="D33" i="5"/>
  <c r="G35" i="5"/>
  <c r="D41" i="5"/>
  <c r="H36" i="5"/>
  <c r="E41" i="5"/>
  <c r="I36" i="5"/>
  <c r="F41" i="5"/>
  <c r="P66" i="5"/>
  <c r="P71" i="5"/>
  <c r="P22" i="5"/>
  <c r="X66" i="5"/>
  <c r="X71" i="5"/>
  <c r="X73" i="5"/>
  <c r="G29" i="5"/>
  <c r="G24" i="5"/>
  <c r="G30" i="5"/>
  <c r="G25" i="5"/>
  <c r="F25" i="5"/>
  <c r="L66" i="5"/>
  <c r="L71" i="5"/>
  <c r="L22" i="5"/>
  <c r="T66" i="5"/>
  <c r="T71" i="5"/>
  <c r="T22" i="5"/>
  <c r="N110" i="5"/>
  <c r="V110" i="5"/>
  <c r="G27" i="5"/>
  <c r="G28" i="5"/>
  <c r="E30" i="5"/>
  <c r="F24" i="5"/>
  <c r="F27" i="5"/>
  <c r="F29" i="5"/>
  <c r="D25" i="5"/>
  <c r="D30" i="5"/>
  <c r="F30" i="5"/>
  <c r="D28" i="5"/>
  <c r="D29" i="5"/>
  <c r="E28" i="5"/>
  <c r="E29" i="5"/>
  <c r="F28" i="5"/>
  <c r="E25" i="5"/>
  <c r="P110" i="5"/>
  <c r="X110" i="5"/>
  <c r="Q110" i="5"/>
  <c r="Y110" i="5"/>
  <c r="R110" i="5"/>
  <c r="D24" i="5"/>
  <c r="D27" i="5"/>
  <c r="E16" i="5"/>
  <c r="G20" i="5"/>
  <c r="G68" i="5"/>
  <c r="O110" i="5"/>
  <c r="W110" i="5"/>
  <c r="S110" i="5"/>
  <c r="E24" i="5"/>
  <c r="E27" i="5"/>
  <c r="T110" i="5"/>
  <c r="F19" i="5"/>
  <c r="M110" i="5"/>
  <c r="U110" i="5"/>
  <c r="J12" i="5"/>
  <c r="F17" i="5"/>
  <c r="R66" i="5"/>
  <c r="R71" i="5"/>
  <c r="R22" i="5"/>
  <c r="G21" i="5"/>
  <c r="E19" i="5"/>
  <c r="F20" i="5"/>
  <c r="F68" i="5"/>
  <c r="G19" i="5"/>
  <c r="O66" i="5"/>
  <c r="O71" i="5"/>
  <c r="O22" i="5"/>
  <c r="W66" i="5"/>
  <c r="W71" i="5"/>
  <c r="W73" i="5"/>
  <c r="E18" i="5"/>
  <c r="E61" i="5"/>
  <c r="G16" i="5"/>
  <c r="D18" i="5"/>
  <c r="D61" i="5"/>
  <c r="F16" i="5"/>
  <c r="D19" i="5"/>
  <c r="S66" i="5"/>
  <c r="S71" i="5"/>
  <c r="S22" i="5"/>
  <c r="D16" i="5"/>
  <c r="E17" i="5"/>
  <c r="G18" i="5"/>
  <c r="G61" i="5"/>
  <c r="D20" i="5"/>
  <c r="D68" i="5"/>
  <c r="D21" i="5"/>
  <c r="G17" i="5"/>
  <c r="Q66" i="5"/>
  <c r="Q71" i="5"/>
  <c r="Q22" i="5"/>
  <c r="Y66" i="5"/>
  <c r="Y71" i="5"/>
  <c r="Y73" i="5"/>
  <c r="D17" i="5"/>
  <c r="F18" i="5"/>
  <c r="F61" i="5"/>
  <c r="E20" i="5"/>
  <c r="E68" i="5"/>
  <c r="E21" i="5"/>
  <c r="J14" i="5"/>
  <c r="H13" i="5"/>
  <c r="M66" i="5"/>
  <c r="M71" i="5"/>
  <c r="U66" i="5"/>
  <c r="U71" i="5"/>
  <c r="H12" i="5"/>
  <c r="N66" i="5"/>
  <c r="N71" i="5"/>
  <c r="V66" i="5"/>
  <c r="V71" i="5"/>
  <c r="I12" i="5"/>
  <c r="J13" i="5"/>
  <c r="D9" i="5"/>
  <c r="I13" i="5"/>
  <c r="H14" i="5"/>
  <c r="I14" i="5"/>
  <c r="E10" i="5"/>
  <c r="E52" i="5"/>
  <c r="F11" i="5"/>
  <c r="F53" i="5"/>
  <c r="G11" i="5"/>
  <c r="G53" i="5"/>
  <c r="G10" i="5"/>
  <c r="G52" i="5"/>
  <c r="E9" i="5"/>
  <c r="E51" i="5"/>
  <c r="D10" i="5"/>
  <c r="F10" i="5"/>
  <c r="F52" i="5"/>
  <c r="D11" i="5"/>
  <c r="G9" i="5"/>
  <c r="G51" i="5"/>
  <c r="E11" i="5"/>
  <c r="E53" i="5"/>
  <c r="F9" i="5"/>
  <c r="F51" i="5"/>
  <c r="D35" i="10"/>
  <c r="F30" i="10"/>
  <c r="G33" i="10"/>
  <c r="F36" i="10"/>
  <c r="G31" i="10"/>
  <c r="G35" i="10"/>
  <c r="G30" i="10"/>
  <c r="D33" i="10"/>
  <c r="F35" i="10"/>
  <c r="D31" i="10"/>
  <c r="E33" i="10"/>
  <c r="D34" i="10"/>
  <c r="E35" i="10"/>
  <c r="E31" i="10"/>
  <c r="F33" i="10"/>
  <c r="E34" i="10"/>
  <c r="E32" i="10"/>
  <c r="F31" i="10"/>
  <c r="F34" i="10"/>
  <c r="D36" i="10"/>
  <c r="G32" i="10"/>
  <c r="E36" i="10"/>
  <c r="D114" i="7"/>
  <c r="D109" i="8"/>
  <c r="D54" i="9"/>
  <c r="D26" i="9"/>
  <c r="E26" i="9"/>
  <c r="F26" i="9"/>
  <c r="G26" i="9"/>
  <c r="G60" i="5"/>
  <c r="F59" i="5"/>
  <c r="E60" i="5"/>
  <c r="E59" i="5"/>
  <c r="G59" i="5"/>
  <c r="F60" i="5"/>
  <c r="F45" i="5"/>
  <c r="E45" i="5"/>
  <c r="D45" i="5"/>
  <c r="G45" i="5"/>
  <c r="E83" i="5"/>
  <c r="E88" i="5"/>
  <c r="F83" i="5"/>
  <c r="F84" i="5"/>
  <c r="E94" i="5"/>
  <c r="G84" i="5"/>
  <c r="F94" i="5"/>
  <c r="G91" i="5"/>
  <c r="G92" i="5"/>
  <c r="F91" i="5"/>
  <c r="F92" i="5"/>
  <c r="F93" i="5"/>
  <c r="E91" i="5"/>
  <c r="E67" i="5"/>
  <c r="G88" i="5"/>
  <c r="G94" i="5"/>
  <c r="G85" i="5"/>
  <c r="G83" i="5"/>
  <c r="E84" i="5"/>
  <c r="F88" i="5"/>
  <c r="E85" i="5"/>
  <c r="F85" i="5"/>
  <c r="D51" i="5"/>
  <c r="D53" i="5"/>
  <c r="D60" i="5"/>
  <c r="D52" i="5"/>
  <c r="D59" i="5"/>
  <c r="L73" i="5"/>
  <c r="P73" i="5"/>
  <c r="T73" i="5"/>
  <c r="O73" i="5"/>
  <c r="S73" i="5"/>
  <c r="R73" i="5"/>
  <c r="Q73" i="5"/>
  <c r="N22" i="5"/>
  <c r="D22" i="5"/>
  <c r="N73" i="5"/>
  <c r="U22" i="5"/>
  <c r="U73" i="5"/>
  <c r="V22" i="5"/>
  <c r="V73" i="5"/>
  <c r="M22" i="5"/>
  <c r="M73" i="5"/>
  <c r="E92" i="5"/>
  <c r="E93" i="5"/>
  <c r="F67" i="5"/>
  <c r="G67" i="5"/>
  <c r="D88" i="5"/>
  <c r="D94" i="5"/>
  <c r="D91" i="5"/>
  <c r="D84" i="5"/>
  <c r="G93" i="5"/>
  <c r="D85" i="5"/>
  <c r="D83" i="5"/>
  <c r="E86" i="5"/>
  <c r="E87" i="5"/>
  <c r="F86" i="5"/>
  <c r="F87" i="5"/>
  <c r="G86" i="5"/>
  <c r="G87" i="5"/>
  <c r="E22" i="5"/>
  <c r="F22" i="5"/>
  <c r="G22" i="5"/>
  <c r="D92" i="5"/>
  <c r="D93" i="5"/>
  <c r="D67" i="5"/>
  <c r="D86" i="5"/>
  <c r="D87" i="5"/>
  <c r="G84" i="10"/>
  <c r="F84" i="10"/>
  <c r="E84" i="10"/>
  <c r="D84" i="10"/>
  <c r="G83" i="10"/>
  <c r="F83" i="10"/>
  <c r="E83" i="10"/>
  <c r="D83" i="10"/>
  <c r="G82" i="10"/>
  <c r="F82" i="10"/>
  <c r="E82" i="10"/>
  <c r="D82" i="10"/>
  <c r="G81" i="10"/>
  <c r="F81" i="10"/>
  <c r="E81" i="10"/>
  <c r="D81" i="10"/>
  <c r="G80" i="10"/>
  <c r="F80" i="10"/>
  <c r="E80" i="10"/>
  <c r="D80" i="10"/>
  <c r="F79" i="10"/>
  <c r="E79" i="10"/>
  <c r="D79" i="10"/>
  <c r="G79" i="10"/>
  <c r="V28" i="10"/>
  <c r="U28" i="10"/>
  <c r="T28" i="10"/>
  <c r="S28" i="10"/>
  <c r="R28" i="10"/>
  <c r="Q28" i="10"/>
  <c r="P28" i="10"/>
  <c r="O28" i="10"/>
  <c r="N28" i="10"/>
  <c r="M28" i="10"/>
  <c r="L28" i="10"/>
  <c r="V27" i="10"/>
  <c r="U27" i="10"/>
  <c r="T27" i="10"/>
  <c r="S27" i="10"/>
  <c r="R27" i="10"/>
  <c r="Q27" i="10"/>
  <c r="P27" i="10"/>
  <c r="O27" i="10"/>
  <c r="N27" i="10"/>
  <c r="M27" i="10"/>
  <c r="L27" i="10"/>
  <c r="V26" i="10"/>
  <c r="U26" i="10"/>
  <c r="T26" i="10"/>
  <c r="S26" i="10"/>
  <c r="R26" i="10"/>
  <c r="Q26" i="10"/>
  <c r="P26" i="10"/>
  <c r="O26" i="10"/>
  <c r="N26" i="10"/>
  <c r="M26" i="10"/>
  <c r="L26" i="10"/>
  <c r="V25" i="10"/>
  <c r="U25" i="10"/>
  <c r="T25" i="10"/>
  <c r="S25" i="10"/>
  <c r="R25" i="10"/>
  <c r="Q25" i="10"/>
  <c r="P25" i="10"/>
  <c r="O25" i="10"/>
  <c r="N25" i="10"/>
  <c r="M25" i="10"/>
  <c r="L25" i="10"/>
  <c r="V24" i="10"/>
  <c r="U24" i="10"/>
  <c r="T24" i="10"/>
  <c r="S24" i="10"/>
  <c r="R24" i="10"/>
  <c r="Q24" i="10"/>
  <c r="P24" i="10"/>
  <c r="O24" i="10"/>
  <c r="N24" i="10"/>
  <c r="M24" i="10"/>
  <c r="L24" i="10"/>
  <c r="V23" i="10"/>
  <c r="U23" i="10"/>
  <c r="T23" i="10"/>
  <c r="S23" i="10"/>
  <c r="R23" i="10"/>
  <c r="Q23" i="10"/>
  <c r="P23" i="10"/>
  <c r="O23" i="10"/>
  <c r="N23" i="10"/>
  <c r="M23" i="10"/>
  <c r="L23" i="10"/>
  <c r="V22" i="10"/>
  <c r="U22" i="10"/>
  <c r="T22" i="10"/>
  <c r="S22" i="10"/>
  <c r="R22" i="10"/>
  <c r="Q22" i="10"/>
  <c r="P22" i="10"/>
  <c r="O22" i="10"/>
  <c r="N22" i="10"/>
  <c r="M22" i="10"/>
  <c r="L22" i="10"/>
  <c r="V21" i="10"/>
  <c r="U21" i="10"/>
  <c r="T21" i="10"/>
  <c r="S21" i="10"/>
  <c r="R21" i="10"/>
  <c r="Q21" i="10"/>
  <c r="P21" i="10"/>
  <c r="O21" i="10"/>
  <c r="N21" i="10"/>
  <c r="M21" i="10"/>
  <c r="L21" i="10"/>
  <c r="V20" i="10"/>
  <c r="U20" i="10"/>
  <c r="T20" i="10"/>
  <c r="S20" i="10"/>
  <c r="R20" i="10"/>
  <c r="Q20" i="10"/>
  <c r="P20" i="10"/>
  <c r="O20" i="10"/>
  <c r="N20" i="10"/>
  <c r="M20" i="10"/>
  <c r="L20" i="10"/>
  <c r="D20" i="10"/>
  <c r="V19" i="10"/>
  <c r="U19" i="10"/>
  <c r="T19" i="10"/>
  <c r="S19" i="10"/>
  <c r="R19" i="10"/>
  <c r="Q19" i="10"/>
  <c r="P19" i="10"/>
  <c r="O19" i="10"/>
  <c r="N19" i="10"/>
  <c r="M19" i="10"/>
  <c r="L19" i="10"/>
  <c r="E19" i="10"/>
  <c r="V18" i="10"/>
  <c r="U18" i="10"/>
  <c r="T18" i="10"/>
  <c r="S18" i="10"/>
  <c r="R18" i="10"/>
  <c r="Q18" i="10"/>
  <c r="P18" i="10"/>
  <c r="O18" i="10"/>
  <c r="N18" i="10"/>
  <c r="M18" i="10"/>
  <c r="L18" i="10"/>
  <c r="G18" i="10"/>
  <c r="B28" i="10"/>
  <c r="B27" i="10"/>
  <c r="B26" i="10"/>
  <c r="B25" i="10"/>
  <c r="B24" i="10"/>
  <c r="B23" i="10"/>
  <c r="B22" i="10"/>
  <c r="B21" i="10"/>
  <c r="B20" i="10"/>
  <c r="B19" i="10"/>
  <c r="B18" i="10"/>
  <c r="E26" i="10"/>
  <c r="G23" i="10"/>
  <c r="D23" i="10"/>
  <c r="F23" i="10"/>
  <c r="E23" i="10"/>
  <c r="G22" i="10"/>
  <c r="F25" i="10"/>
  <c r="D21" i="10"/>
  <c r="F22" i="10"/>
  <c r="E21" i="10"/>
  <c r="G24" i="10"/>
  <c r="D25" i="10"/>
  <c r="G25" i="10"/>
  <c r="F21" i="10"/>
  <c r="G21" i="10"/>
  <c r="E22" i="10"/>
  <c r="D19" i="10"/>
  <c r="E25" i="10"/>
  <c r="F19" i="10"/>
  <c r="G19" i="10"/>
  <c r="G26" i="10"/>
  <c r="F26" i="10"/>
  <c r="G20" i="10"/>
  <c r="D18" i="10"/>
  <c r="D22" i="10"/>
  <c r="D24" i="10"/>
  <c r="F20" i="10"/>
  <c r="E18" i="10"/>
  <c r="E24" i="10"/>
  <c r="E20" i="10"/>
  <c r="F18" i="10"/>
  <c r="F24" i="10"/>
  <c r="D26" i="10"/>
  <c r="V16" i="10"/>
  <c r="U16" i="10"/>
  <c r="T16" i="10"/>
  <c r="S16" i="10"/>
  <c r="R16" i="10"/>
  <c r="Q16" i="10"/>
  <c r="P16" i="10"/>
  <c r="O16" i="10"/>
  <c r="N16" i="10"/>
  <c r="M16" i="10"/>
  <c r="L16" i="10"/>
  <c r="M14" i="10"/>
  <c r="N14" i="10"/>
  <c r="O14" i="10"/>
  <c r="P14" i="10"/>
  <c r="Q14" i="10"/>
  <c r="R14" i="10"/>
  <c r="S14" i="10"/>
  <c r="T14" i="10"/>
  <c r="U14" i="10"/>
  <c r="V14" i="10"/>
  <c r="L14" i="10"/>
  <c r="V12" i="10"/>
  <c r="U12" i="10"/>
  <c r="T12" i="10"/>
  <c r="S12" i="10"/>
  <c r="R12" i="10"/>
  <c r="Q12" i="10"/>
  <c r="P12" i="10"/>
  <c r="O12" i="10"/>
  <c r="N12" i="10"/>
  <c r="M12" i="10"/>
  <c r="L12" i="10"/>
  <c r="V11" i="10"/>
  <c r="U11" i="10"/>
  <c r="T11" i="10"/>
  <c r="S11" i="10"/>
  <c r="R11" i="10"/>
  <c r="Q11" i="10"/>
  <c r="P11" i="10"/>
  <c r="O11" i="10"/>
  <c r="N11" i="10"/>
  <c r="M11" i="10"/>
  <c r="L11" i="10"/>
  <c r="V10" i="10"/>
  <c r="U10" i="10"/>
  <c r="T10" i="10"/>
  <c r="S10" i="10"/>
  <c r="R10" i="10"/>
  <c r="Q10" i="10"/>
  <c r="P10" i="10"/>
  <c r="O10" i="10"/>
  <c r="N10" i="10"/>
  <c r="M10" i="10"/>
  <c r="L10" i="10"/>
  <c r="B12" i="10"/>
  <c r="B11" i="10"/>
  <c r="B10" i="10"/>
  <c r="V9" i="10"/>
  <c r="U9" i="10"/>
  <c r="T9" i="10"/>
  <c r="S9" i="10"/>
  <c r="R9" i="10"/>
  <c r="Q9" i="10"/>
  <c r="P9" i="10"/>
  <c r="O9" i="10"/>
  <c r="N9" i="10"/>
  <c r="M9" i="10"/>
  <c r="Y112" i="10"/>
  <c r="X112" i="10"/>
  <c r="W112" i="10"/>
  <c r="V112" i="10"/>
  <c r="U112" i="10"/>
  <c r="T112" i="10"/>
  <c r="S112" i="10"/>
  <c r="R112" i="10"/>
  <c r="Q112" i="10"/>
  <c r="P112" i="10"/>
  <c r="O112" i="10"/>
  <c r="N112" i="10"/>
  <c r="M112" i="10"/>
  <c r="L112" i="10"/>
  <c r="Y105" i="10"/>
  <c r="Y85" i="10"/>
  <c r="X105" i="10"/>
  <c r="W105" i="10"/>
  <c r="V105" i="10"/>
  <c r="U105" i="10"/>
  <c r="T105" i="10"/>
  <c r="S105" i="10"/>
  <c r="R105" i="10"/>
  <c r="Q105" i="10"/>
  <c r="Q85" i="10"/>
  <c r="P105" i="10"/>
  <c r="O105" i="10"/>
  <c r="N105" i="10"/>
  <c r="N85" i="10"/>
  <c r="M105" i="10"/>
  <c r="L105" i="10"/>
  <c r="Y40" i="8"/>
  <c r="Y37" i="7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S85" i="10"/>
  <c r="M85" i="10"/>
  <c r="T85" i="10"/>
  <c r="V85" i="10"/>
  <c r="L85" i="10"/>
  <c r="U85" i="10"/>
  <c r="E14" i="10"/>
  <c r="O85" i="10"/>
  <c r="W85" i="10"/>
  <c r="F9" i="10"/>
  <c r="F42" i="10"/>
  <c r="P85" i="10"/>
  <c r="R85" i="10"/>
  <c r="D9" i="10"/>
  <c r="G9" i="10"/>
  <c r="G42" i="10"/>
  <c r="X85" i="10"/>
  <c r="E9" i="10"/>
  <c r="E42" i="10"/>
  <c r="E12" i="10"/>
  <c r="F14" i="10"/>
  <c r="G14" i="10"/>
  <c r="F12" i="10"/>
  <c r="G10" i="10"/>
  <c r="G11" i="10"/>
  <c r="D11" i="10"/>
  <c r="E10" i="10"/>
  <c r="G12" i="10"/>
  <c r="D14" i="10"/>
  <c r="F10" i="10"/>
  <c r="D10" i="10"/>
  <c r="E11" i="10"/>
  <c r="F11" i="10"/>
  <c r="D12" i="10"/>
  <c r="G43" i="10"/>
  <c r="G44" i="10"/>
  <c r="E44" i="10"/>
  <c r="F45" i="10"/>
  <c r="E43" i="10"/>
  <c r="E45" i="10"/>
  <c r="F44" i="10"/>
  <c r="F43" i="10"/>
  <c r="G45" i="10"/>
  <c r="E88" i="10"/>
  <c r="E89" i="10"/>
  <c r="E93" i="10"/>
  <c r="E91" i="10"/>
  <c r="E92" i="10"/>
  <c r="E94" i="10"/>
  <c r="E90" i="10"/>
  <c r="F90" i="10"/>
  <c r="F94" i="10"/>
  <c r="F88" i="10"/>
  <c r="F89" i="10"/>
  <c r="F93" i="10"/>
  <c r="F91" i="10"/>
  <c r="F92" i="10"/>
  <c r="G93" i="10"/>
  <c r="G89" i="10"/>
  <c r="G94" i="10"/>
  <c r="G92" i="10"/>
  <c r="G90" i="10"/>
  <c r="G88" i="10"/>
  <c r="G66" i="10"/>
  <c r="G73" i="10"/>
  <c r="G67" i="10"/>
  <c r="G72" i="10"/>
  <c r="G69" i="10"/>
  <c r="G74" i="10"/>
  <c r="G68" i="10"/>
  <c r="G70" i="10"/>
  <c r="G71" i="10"/>
  <c r="E74" i="10"/>
  <c r="E67" i="10"/>
  <c r="E68" i="10"/>
  <c r="E66" i="10"/>
  <c r="E72" i="10"/>
  <c r="E69" i="10"/>
  <c r="E73" i="10"/>
  <c r="E70" i="10"/>
  <c r="E71" i="10"/>
  <c r="F72" i="10"/>
  <c r="F71" i="10"/>
  <c r="F66" i="10"/>
  <c r="F69" i="10"/>
  <c r="F67" i="10"/>
  <c r="F73" i="10"/>
  <c r="F74" i="10"/>
  <c r="F70" i="10"/>
  <c r="F68" i="10"/>
  <c r="D42" i="10"/>
  <c r="D45" i="10"/>
  <c r="Y50" i="10"/>
  <c r="Y51" i="10"/>
  <c r="Y53" i="10"/>
  <c r="X50" i="10"/>
  <c r="X51" i="10"/>
  <c r="X53" i="10"/>
  <c r="W50" i="10"/>
  <c r="W51" i="10"/>
  <c r="W53" i="10"/>
  <c r="V50" i="10"/>
  <c r="V51" i="10"/>
  <c r="V15" i="10"/>
  <c r="U50" i="10"/>
  <c r="T50" i="10"/>
  <c r="S50" i="10"/>
  <c r="R50" i="10"/>
  <c r="Q50" i="10"/>
  <c r="Q51" i="10"/>
  <c r="Q15" i="10"/>
  <c r="P50" i="10"/>
  <c r="P51" i="10"/>
  <c r="P15" i="10"/>
  <c r="O50" i="10"/>
  <c r="O51" i="10"/>
  <c r="O15" i="10"/>
  <c r="N50" i="10"/>
  <c r="N51" i="10"/>
  <c r="N15" i="10"/>
  <c r="M50" i="10"/>
  <c r="M51" i="10"/>
  <c r="M15" i="10"/>
  <c r="L50" i="10"/>
  <c r="B27" i="7"/>
  <c r="B137" i="5"/>
  <c r="B114" i="8"/>
  <c r="B139" i="11"/>
  <c r="V8" i="10"/>
  <c r="U8" i="10"/>
  <c r="T8" i="10"/>
  <c r="S8" i="10"/>
  <c r="R8" i="10"/>
  <c r="Q8" i="10"/>
  <c r="P8" i="10"/>
  <c r="O8" i="10"/>
  <c r="N8" i="10"/>
  <c r="M8" i="10"/>
  <c r="L8" i="10"/>
  <c r="U10" i="6"/>
  <c r="T10" i="6"/>
  <c r="S10" i="6"/>
  <c r="R10" i="6"/>
  <c r="Q10" i="6"/>
  <c r="P10" i="6"/>
  <c r="O10" i="6"/>
  <c r="N10" i="6"/>
  <c r="M10" i="6"/>
  <c r="L10" i="6"/>
  <c r="V10" i="9"/>
  <c r="U10" i="9"/>
  <c r="T10" i="9"/>
  <c r="S10" i="9"/>
  <c r="R10" i="9"/>
  <c r="Q10" i="9"/>
  <c r="P10" i="9"/>
  <c r="O10" i="9"/>
  <c r="N10" i="9"/>
  <c r="M10" i="9"/>
  <c r="L10" i="9"/>
  <c r="U10" i="8"/>
  <c r="T10" i="8"/>
  <c r="S10" i="8"/>
  <c r="R10" i="8"/>
  <c r="Q10" i="8"/>
  <c r="P10" i="8"/>
  <c r="O10" i="8"/>
  <c r="N10" i="8"/>
  <c r="M10" i="8"/>
  <c r="L10" i="8"/>
  <c r="U11" i="7"/>
  <c r="T11" i="7"/>
  <c r="S11" i="7"/>
  <c r="R11" i="7"/>
  <c r="Q11" i="7"/>
  <c r="P11" i="7"/>
  <c r="O11" i="7"/>
  <c r="N11" i="7"/>
  <c r="M11" i="7"/>
  <c r="L11" i="7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J22" i="7"/>
  <c r="H22" i="7"/>
  <c r="I22" i="7"/>
  <c r="I24" i="8"/>
  <c r="H24" i="8"/>
  <c r="AI13" i="8" a="1"/>
  <c r="AI13" i="8"/>
  <c r="H23" i="8"/>
  <c r="I23" i="8"/>
  <c r="AI14" i="8" a="1"/>
  <c r="AI14" i="8"/>
  <c r="AI15" i="8" a="1"/>
  <c r="AI15" i="8"/>
  <c r="J24" i="8"/>
  <c r="J23" i="8"/>
  <c r="H25" i="8"/>
  <c r="I25" i="8"/>
  <c r="J25" i="8"/>
  <c r="H37" i="9"/>
  <c r="J36" i="9"/>
  <c r="H36" i="9"/>
  <c r="I37" i="9"/>
  <c r="J37" i="9"/>
  <c r="I36" i="9"/>
  <c r="J23" i="6"/>
  <c r="I22" i="6"/>
  <c r="H22" i="6"/>
  <c r="J22" i="6"/>
  <c r="I23" i="6"/>
  <c r="H23" i="6"/>
  <c r="H13" i="10"/>
  <c r="I13" i="10"/>
  <c r="J13" i="10"/>
  <c r="D44" i="10"/>
  <c r="D43" i="10"/>
  <c r="F105" i="10"/>
  <c r="G105" i="10"/>
  <c r="E105" i="10"/>
  <c r="D94" i="10"/>
  <c r="D92" i="10"/>
  <c r="D88" i="10"/>
  <c r="D93" i="10"/>
  <c r="D91" i="10"/>
  <c r="D89" i="10"/>
  <c r="D68" i="10"/>
  <c r="D72" i="10"/>
  <c r="D74" i="10"/>
  <c r="D73" i="10"/>
  <c r="D70" i="10"/>
  <c r="D67" i="10"/>
  <c r="D71" i="10"/>
  <c r="D66" i="10"/>
  <c r="D69" i="10"/>
  <c r="I32" i="10"/>
  <c r="J32" i="10"/>
  <c r="H32" i="10"/>
  <c r="V53" i="10"/>
  <c r="O53" i="10"/>
  <c r="I28" i="10"/>
  <c r="H27" i="10"/>
  <c r="J27" i="10"/>
  <c r="J28" i="10"/>
  <c r="H28" i="10"/>
  <c r="I27" i="10"/>
  <c r="B160" i="9"/>
  <c r="M53" i="10"/>
  <c r="N53" i="10"/>
  <c r="L51" i="10"/>
  <c r="L15" i="10"/>
  <c r="R51" i="10"/>
  <c r="R15" i="10"/>
  <c r="Q53" i="10"/>
  <c r="S51" i="10"/>
  <c r="S15" i="10"/>
  <c r="T51" i="10"/>
  <c r="T15" i="10"/>
  <c r="U51" i="10"/>
  <c r="U15" i="10"/>
  <c r="P53" i="10"/>
  <c r="F22" i="7"/>
  <c r="F113" i="7"/>
  <c r="E22" i="7"/>
  <c r="E113" i="7"/>
  <c r="D22" i="7"/>
  <c r="D113" i="7"/>
  <c r="G22" i="7"/>
  <c r="G113" i="7"/>
  <c r="S53" i="10"/>
  <c r="U53" i="10"/>
  <c r="F15" i="10"/>
  <c r="E15" i="10"/>
  <c r="D15" i="10"/>
  <c r="G15" i="10"/>
  <c r="L53" i="10"/>
  <c r="T53" i="10"/>
  <c r="R53" i="10"/>
  <c r="E121" i="7"/>
  <c r="E119" i="7"/>
  <c r="G119" i="7"/>
  <c r="G121" i="7"/>
  <c r="F121" i="7"/>
  <c r="F119" i="7"/>
  <c r="D119" i="7"/>
  <c r="D121" i="7"/>
  <c r="F40" i="10"/>
  <c r="E40" i="10"/>
  <c r="F49" i="5"/>
  <c r="E49" i="5"/>
  <c r="F27" i="6"/>
  <c r="E27" i="6"/>
  <c r="F29" i="8"/>
  <c r="E29" i="8"/>
  <c r="F26" i="7"/>
  <c r="E26" i="7"/>
  <c r="F24" i="11"/>
  <c r="E24" i="11"/>
  <c r="F41" i="9"/>
  <c r="E41" i="9"/>
  <c r="G40" i="10"/>
  <c r="D40" i="10"/>
  <c r="G49" i="5"/>
  <c r="D49" i="5"/>
  <c r="G27" i="6"/>
  <c r="D27" i="6"/>
  <c r="G29" i="8"/>
  <c r="D29" i="8"/>
  <c r="G26" i="7"/>
  <c r="D26" i="7"/>
  <c r="G24" i="11"/>
  <c r="D24" i="11"/>
  <c r="G41" i="9"/>
  <c r="D41" i="9"/>
  <c r="F39" i="10"/>
  <c r="F8" i="10"/>
  <c r="F13" i="10"/>
  <c r="F49" i="10"/>
  <c r="F50" i="10"/>
  <c r="F51" i="10"/>
  <c r="F52" i="10"/>
  <c r="F53" i="10"/>
  <c r="E39" i="10"/>
  <c r="E8" i="10"/>
  <c r="E13" i="10"/>
  <c r="E49" i="10"/>
  <c r="E50" i="10"/>
  <c r="E51" i="10"/>
  <c r="E52" i="10"/>
  <c r="E53" i="10"/>
  <c r="F48" i="5"/>
  <c r="F8" i="5"/>
  <c r="F37" i="5"/>
  <c r="E48" i="5"/>
  <c r="E8" i="5"/>
  <c r="E37" i="5"/>
  <c r="F26" i="6"/>
  <c r="F10" i="6"/>
  <c r="E26" i="6"/>
  <c r="E10" i="6"/>
  <c r="F28" i="8"/>
  <c r="F10" i="8"/>
  <c r="E28" i="8"/>
  <c r="E10" i="8"/>
  <c r="F25" i="7"/>
  <c r="F11" i="7"/>
  <c r="E25" i="7"/>
  <c r="E11" i="7"/>
  <c r="F23" i="11"/>
  <c r="F8" i="11"/>
  <c r="E23" i="11"/>
  <c r="E8" i="11"/>
  <c r="F40" i="9"/>
  <c r="F10" i="9"/>
  <c r="E40" i="9"/>
  <c r="E10" i="9"/>
  <c r="G39" i="10"/>
  <c r="G48" i="5"/>
  <c r="G8" i="5"/>
  <c r="G37" i="5"/>
  <c r="G26" i="6"/>
  <c r="G28" i="8"/>
  <c r="G10" i="8"/>
  <c r="G25" i="7"/>
  <c r="G23" i="11"/>
  <c r="G40" i="9"/>
  <c r="D108" i="7"/>
  <c r="D109" i="7"/>
  <c r="E108" i="7"/>
  <c r="E109" i="7"/>
  <c r="F108" i="7"/>
  <c r="F109" i="7"/>
  <c r="G108" i="7"/>
  <c r="G109" i="7"/>
  <c r="G24" i="8"/>
  <c r="G110" i="8"/>
  <c r="G22" i="8"/>
  <c r="G107" i="8"/>
  <c r="G23" i="8"/>
  <c r="G108" i="8"/>
  <c r="G25" i="8"/>
  <c r="E23" i="8"/>
  <c r="E108" i="8"/>
  <c r="E22" i="8"/>
  <c r="E107" i="8"/>
  <c r="E24" i="8"/>
  <c r="E110" i="8"/>
  <c r="E25" i="8"/>
  <c r="F24" i="8"/>
  <c r="F110" i="8"/>
  <c r="F25" i="8"/>
  <c r="F22" i="8"/>
  <c r="F107" i="8"/>
  <c r="F23" i="8"/>
  <c r="F108" i="8"/>
  <c r="E36" i="9"/>
  <c r="E156" i="9"/>
  <c r="E37" i="9"/>
  <c r="E157" i="9"/>
  <c r="F36" i="9"/>
  <c r="F156" i="9"/>
  <c r="F37" i="9"/>
  <c r="F157" i="9"/>
  <c r="E23" i="6"/>
  <c r="E75" i="6"/>
  <c r="E76" i="6"/>
  <c r="E22" i="6"/>
  <c r="E73" i="6"/>
  <c r="F22" i="6"/>
  <c r="F73" i="6"/>
  <c r="F23" i="6"/>
  <c r="F75" i="6"/>
  <c r="F76" i="6"/>
  <c r="F31" i="5"/>
  <c r="F100" i="5"/>
  <c r="F39" i="5"/>
  <c r="F98" i="5"/>
  <c r="G31" i="5"/>
  <c r="G100" i="5"/>
  <c r="G39" i="5"/>
  <c r="G98" i="5"/>
  <c r="E31" i="5"/>
  <c r="E100" i="5"/>
  <c r="E39" i="5"/>
  <c r="E98" i="5"/>
  <c r="F36" i="5"/>
  <c r="F95" i="5"/>
  <c r="F96" i="5"/>
  <c r="F43" i="5"/>
  <c r="F124" i="5"/>
  <c r="F42" i="5"/>
  <c r="F129" i="5"/>
  <c r="F44" i="5"/>
  <c r="F118" i="5"/>
  <c r="E36" i="5"/>
  <c r="E95" i="5"/>
  <c r="E96" i="5"/>
  <c r="E43" i="5"/>
  <c r="E124" i="5"/>
  <c r="E42" i="5"/>
  <c r="E129" i="5"/>
  <c r="E44" i="5"/>
  <c r="E118" i="5"/>
  <c r="G36" i="5"/>
  <c r="G95" i="5"/>
  <c r="G96" i="5"/>
  <c r="G43" i="5"/>
  <c r="G124" i="5"/>
  <c r="G42" i="5"/>
  <c r="G129" i="5"/>
  <c r="G44" i="5"/>
  <c r="G118" i="5"/>
  <c r="F13" i="5"/>
  <c r="F55" i="5"/>
  <c r="F14" i="5"/>
  <c r="F58" i="5"/>
  <c r="F65" i="5"/>
  <c r="F12" i="5"/>
  <c r="F54" i="5"/>
  <c r="G13" i="5"/>
  <c r="G55" i="5"/>
  <c r="G12" i="5"/>
  <c r="G54" i="5"/>
  <c r="G14" i="5"/>
  <c r="G58" i="5"/>
  <c r="G65" i="5"/>
  <c r="E14" i="5"/>
  <c r="E58" i="5"/>
  <c r="E65" i="5"/>
  <c r="E12" i="5"/>
  <c r="E54" i="5"/>
  <c r="E13" i="5"/>
  <c r="E55" i="5"/>
  <c r="F27" i="10"/>
  <c r="F75" i="10"/>
  <c r="F28" i="10"/>
  <c r="F76" i="10"/>
  <c r="E27" i="10"/>
  <c r="E75" i="10"/>
  <c r="E28" i="10"/>
  <c r="E76" i="10"/>
  <c r="D23" i="11"/>
  <c r="D8" i="11"/>
  <c r="G8" i="11"/>
  <c r="D39" i="10"/>
  <c r="D8" i="10"/>
  <c r="G8" i="10"/>
  <c r="G13" i="10"/>
  <c r="G49" i="10"/>
  <c r="G50" i="10"/>
  <c r="G51" i="10"/>
  <c r="G52" i="10"/>
  <c r="G53" i="10"/>
  <c r="G110" i="10"/>
  <c r="D48" i="5"/>
  <c r="D8" i="5"/>
  <c r="D37" i="5"/>
  <c r="D26" i="6"/>
  <c r="D10" i="6"/>
  <c r="D23" i="6"/>
  <c r="D75" i="6"/>
  <c r="D76" i="6"/>
  <c r="G10" i="6"/>
  <c r="D40" i="9"/>
  <c r="D10" i="9"/>
  <c r="G10" i="9"/>
  <c r="D28" i="8"/>
  <c r="D10" i="8"/>
  <c r="D25" i="7"/>
  <c r="D11" i="7"/>
  <c r="G11" i="7"/>
  <c r="G6" i="1"/>
  <c r="F6" i="1"/>
  <c r="E111" i="8"/>
  <c r="E103" i="8"/>
  <c r="E104" i="8"/>
  <c r="G111" i="8"/>
  <c r="G103" i="8"/>
  <c r="G104" i="8"/>
  <c r="D23" i="8"/>
  <c r="D108" i="8"/>
  <c r="D25" i="8"/>
  <c r="D22" i="8"/>
  <c r="D107" i="8"/>
  <c r="D24" i="8"/>
  <c r="D110" i="8"/>
  <c r="F111" i="8"/>
  <c r="F103" i="8"/>
  <c r="F104" i="8"/>
  <c r="G36" i="9"/>
  <c r="G156" i="9"/>
  <c r="G37" i="9"/>
  <c r="G157" i="9"/>
  <c r="D36" i="9"/>
  <c r="D156" i="9"/>
  <c r="D37" i="9"/>
  <c r="D157" i="9"/>
  <c r="G22" i="6"/>
  <c r="G73" i="6"/>
  <c r="G23" i="6"/>
  <c r="G75" i="6"/>
  <c r="G76" i="6"/>
  <c r="E101" i="5"/>
  <c r="E102" i="5"/>
  <c r="G101" i="5"/>
  <c r="G102" i="5"/>
  <c r="F101" i="5"/>
  <c r="F102" i="5"/>
  <c r="D31" i="5"/>
  <c r="D100" i="5"/>
  <c r="D39" i="5"/>
  <c r="D98" i="5"/>
  <c r="D36" i="5"/>
  <c r="D95" i="5"/>
  <c r="D96" i="5"/>
  <c r="D43" i="5"/>
  <c r="D124" i="5"/>
  <c r="D42" i="5"/>
  <c r="D129" i="5"/>
  <c r="D44" i="5"/>
  <c r="D118" i="5"/>
  <c r="F57" i="5"/>
  <c r="F66" i="5"/>
  <c r="F71" i="5"/>
  <c r="F113" i="5"/>
  <c r="F119" i="5"/>
  <c r="F126" i="5"/>
  <c r="G57" i="5"/>
  <c r="G66" i="5"/>
  <c r="G71" i="5"/>
  <c r="G113" i="5"/>
  <c r="G119" i="5"/>
  <c r="G126" i="5"/>
  <c r="E57" i="5"/>
  <c r="E66" i="5"/>
  <c r="E71" i="5"/>
  <c r="E113" i="5"/>
  <c r="E119" i="5"/>
  <c r="E126" i="5"/>
  <c r="D12" i="5"/>
  <c r="D54" i="5"/>
  <c r="D14" i="5"/>
  <c r="D58" i="5"/>
  <c r="D65" i="5"/>
  <c r="D13" i="5"/>
  <c r="D55" i="5"/>
  <c r="F110" i="10"/>
  <c r="G112" i="10"/>
  <c r="D32" i="10"/>
  <c r="D90" i="10"/>
  <c r="D105" i="10"/>
  <c r="D13" i="10"/>
  <c r="D49" i="10"/>
  <c r="D50" i="10"/>
  <c r="D51" i="10"/>
  <c r="D52" i="10"/>
  <c r="D53" i="10"/>
  <c r="G27" i="10"/>
  <c r="G75" i="10"/>
  <c r="G28" i="10"/>
  <c r="G76" i="10"/>
  <c r="D27" i="10"/>
  <c r="D75" i="10"/>
  <c r="D28" i="10"/>
  <c r="D76" i="10"/>
  <c r="C8" i="2"/>
  <c r="C9" i="2"/>
  <c r="C10" i="2"/>
  <c r="D111" i="8"/>
  <c r="D103" i="8"/>
  <c r="D104" i="8"/>
  <c r="E72" i="5"/>
  <c r="E73" i="5"/>
  <c r="G72" i="5"/>
  <c r="G73" i="5"/>
  <c r="G130" i="5"/>
  <c r="F72" i="5"/>
  <c r="F73" i="5"/>
  <c r="D101" i="5"/>
  <c r="D102" i="5"/>
  <c r="D57" i="5"/>
  <c r="D66" i="5"/>
  <c r="D71" i="5"/>
  <c r="D113" i="5"/>
  <c r="D119" i="5"/>
  <c r="D126" i="5"/>
  <c r="E110" i="10"/>
  <c r="F112" i="10"/>
  <c r="F85" i="10"/>
  <c r="G85" i="10"/>
  <c r="B14" i="2"/>
  <c r="E5" i="2"/>
  <c r="D5" i="2"/>
  <c r="C5" i="2"/>
  <c r="E10" i="2"/>
  <c r="D10" i="2"/>
  <c r="E9" i="2"/>
  <c r="D9" i="2"/>
  <c r="E8" i="2"/>
  <c r="D8" i="2"/>
  <c r="E7" i="2"/>
  <c r="D7" i="2"/>
  <c r="E6" i="2"/>
  <c r="D6" i="2"/>
  <c r="B7" i="2"/>
  <c r="B8" i="2"/>
  <c r="B9" i="2"/>
  <c r="B10" i="2"/>
  <c r="C7" i="2"/>
  <c r="C6" i="2"/>
  <c r="G5" i="1"/>
  <c r="H158" i="1"/>
  <c r="G4" i="1"/>
  <c r="G3" i="1"/>
  <c r="G2" i="1"/>
  <c r="F4" i="1"/>
  <c r="F3" i="1"/>
  <c r="F2" i="1"/>
  <c r="F130" i="5"/>
  <c r="F133" i="5"/>
  <c r="G133" i="5"/>
  <c r="G134" i="5"/>
  <c r="G135" i="5"/>
  <c r="D72" i="5"/>
  <c r="D73" i="5"/>
  <c r="D110" i="10"/>
  <c r="D112" i="10"/>
  <c r="D85" i="10"/>
  <c r="E112" i="10"/>
  <c r="E85" i="10"/>
  <c r="H23" i="1"/>
  <c r="H31" i="1"/>
  <c r="H39" i="1"/>
  <c r="H47" i="1"/>
  <c r="H55" i="1"/>
  <c r="H63" i="1"/>
  <c r="H71" i="1"/>
  <c r="H79" i="1"/>
  <c r="H87" i="1"/>
  <c r="H95" i="1"/>
  <c r="H103" i="1"/>
  <c r="H111" i="1"/>
  <c r="H119" i="1"/>
  <c r="H127" i="1"/>
  <c r="H135" i="1"/>
  <c r="H143" i="1"/>
  <c r="H151" i="1"/>
  <c r="H159" i="1"/>
  <c r="H167" i="1"/>
  <c r="H46" i="1"/>
  <c r="H40" i="1"/>
  <c r="H64" i="1"/>
  <c r="H80" i="1"/>
  <c r="H104" i="1"/>
  <c r="H136" i="1"/>
  <c r="H17" i="1"/>
  <c r="H25" i="1"/>
  <c r="H33" i="1"/>
  <c r="H41" i="1"/>
  <c r="H49" i="1"/>
  <c r="H57" i="1"/>
  <c r="H65" i="1"/>
  <c r="H73" i="1"/>
  <c r="H81" i="1"/>
  <c r="H89" i="1"/>
  <c r="H97" i="1"/>
  <c r="H105" i="1"/>
  <c r="H113" i="1"/>
  <c r="H121" i="1"/>
  <c r="H129" i="1"/>
  <c r="H137" i="1"/>
  <c r="H145" i="1"/>
  <c r="H153" i="1"/>
  <c r="H161" i="1"/>
  <c r="H169" i="1"/>
  <c r="H86" i="1"/>
  <c r="H142" i="1"/>
  <c r="H32" i="1"/>
  <c r="H56" i="1"/>
  <c r="H88" i="1"/>
  <c r="H120" i="1"/>
  <c r="H144" i="1"/>
  <c r="H168" i="1"/>
  <c r="H18" i="1"/>
  <c r="H26" i="1"/>
  <c r="H34" i="1"/>
  <c r="H42" i="1"/>
  <c r="H50" i="1"/>
  <c r="H58" i="1"/>
  <c r="H66" i="1"/>
  <c r="H74" i="1"/>
  <c r="H82" i="1"/>
  <c r="H90" i="1"/>
  <c r="H98" i="1"/>
  <c r="H106" i="1"/>
  <c r="H114" i="1"/>
  <c r="H122" i="1"/>
  <c r="H130" i="1"/>
  <c r="H138" i="1"/>
  <c r="H146" i="1"/>
  <c r="H154" i="1"/>
  <c r="H162" i="1"/>
  <c r="H170" i="1"/>
  <c r="H62" i="1"/>
  <c r="H118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H123" i="1"/>
  <c r="H131" i="1"/>
  <c r="H139" i="1"/>
  <c r="H147" i="1"/>
  <c r="H155" i="1"/>
  <c r="H163" i="1"/>
  <c r="H171" i="1"/>
  <c r="H22" i="1"/>
  <c r="H54" i="1"/>
  <c r="H94" i="1"/>
  <c r="H126" i="1"/>
  <c r="H150" i="1"/>
  <c r="H16" i="1"/>
  <c r="H48" i="1"/>
  <c r="H96" i="1"/>
  <c r="H128" i="1"/>
  <c r="H152" i="1"/>
  <c r="H20" i="1"/>
  <c r="H28" i="1"/>
  <c r="H36" i="1"/>
  <c r="H44" i="1"/>
  <c r="H52" i="1"/>
  <c r="H60" i="1"/>
  <c r="H68" i="1"/>
  <c r="H76" i="1"/>
  <c r="H84" i="1"/>
  <c r="H92" i="1"/>
  <c r="H100" i="1"/>
  <c r="H108" i="1"/>
  <c r="H116" i="1"/>
  <c r="H124" i="1"/>
  <c r="H132" i="1"/>
  <c r="H140" i="1"/>
  <c r="H148" i="1"/>
  <c r="H156" i="1"/>
  <c r="H164" i="1"/>
  <c r="H172" i="1"/>
  <c r="H38" i="1"/>
  <c r="H78" i="1"/>
  <c r="H110" i="1"/>
  <c r="H134" i="1"/>
  <c r="H166" i="1"/>
  <c r="H24" i="1"/>
  <c r="H72" i="1"/>
  <c r="H112" i="1"/>
  <c r="H160" i="1"/>
  <c r="H21" i="1"/>
  <c r="H29" i="1"/>
  <c r="H37" i="1"/>
  <c r="H45" i="1"/>
  <c r="H53" i="1"/>
  <c r="H61" i="1"/>
  <c r="H69" i="1"/>
  <c r="H77" i="1"/>
  <c r="H85" i="1"/>
  <c r="H93" i="1"/>
  <c r="H101" i="1"/>
  <c r="H109" i="1"/>
  <c r="H117" i="1"/>
  <c r="H125" i="1"/>
  <c r="H133" i="1"/>
  <c r="H141" i="1"/>
  <c r="H149" i="1"/>
  <c r="H157" i="1"/>
  <c r="H165" i="1"/>
  <c r="H30" i="1"/>
  <c r="H70" i="1"/>
  <c r="H102" i="1"/>
  <c r="E130" i="5"/>
  <c r="D130" i="5"/>
  <c r="D133" i="5"/>
  <c r="F134" i="5"/>
  <c r="F135" i="5"/>
  <c r="E133" i="5"/>
  <c r="E134" i="5"/>
  <c r="E135" i="5"/>
  <c r="D134" i="5"/>
  <c r="D135" i="5"/>
  <c r="L34" i="5"/>
  <c r="F34" i="5"/>
  <c r="F89" i="5"/>
  <c r="F90" i="5"/>
  <c r="F110" i="5"/>
  <c r="L90" i="5"/>
  <c r="L110" i="5"/>
  <c r="D34" i="5"/>
  <c r="D89" i="5"/>
  <c r="D90" i="5"/>
  <c r="D110" i="5"/>
  <c r="E34" i="5"/>
  <c r="E89" i="5"/>
  <c r="E90" i="5"/>
  <c r="E110" i="5"/>
  <c r="G34" i="5"/>
  <c r="G89" i="5"/>
  <c r="G90" i="5"/>
  <c r="G110" i="5"/>
  <c r="D22" i="6"/>
  <c r="D73" i="6"/>
  <c r="D11" i="6"/>
  <c r="E11" i="6"/>
  <c r="E29" i="6"/>
  <c r="F11" i="6"/>
  <c r="F29" i="6"/>
  <c r="F31" i="6"/>
  <c r="G11" i="6"/>
  <c r="G29" i="6"/>
  <c r="E31" i="6"/>
  <c r="E60" i="6"/>
  <c r="E34" i="6"/>
  <c r="G31" i="6"/>
  <c r="G60" i="6"/>
  <c r="G34" i="6"/>
  <c r="G66" i="6"/>
  <c r="G69" i="6"/>
  <c r="G32" i="6"/>
  <c r="G59" i="6"/>
  <c r="E59" i="6"/>
  <c r="F66" i="6"/>
  <c r="F69" i="6"/>
  <c r="F32" i="6"/>
  <c r="F59" i="6"/>
  <c r="E66" i="6"/>
  <c r="E69" i="6"/>
  <c r="E32" i="6"/>
  <c r="D29" i="6"/>
  <c r="F60" i="6"/>
  <c r="E36" i="6"/>
  <c r="E37" i="6"/>
  <c r="E38" i="6"/>
  <c r="E39" i="6"/>
  <c r="G36" i="6"/>
  <c r="G37" i="6"/>
  <c r="G38" i="6"/>
  <c r="G39" i="6"/>
  <c r="D66" i="6"/>
  <c r="D69" i="6"/>
  <c r="D31" i="6"/>
  <c r="D60" i="6"/>
  <c r="D34" i="6"/>
  <c r="D32" i="6"/>
  <c r="D59" i="6"/>
  <c r="F34" i="6"/>
  <c r="F36" i="6"/>
  <c r="F37" i="6"/>
  <c r="D36" i="6"/>
  <c r="D37" i="6"/>
  <c r="G40" i="6"/>
  <c r="G41" i="6"/>
  <c r="G74" i="6"/>
  <c r="E40" i="6"/>
  <c r="E41" i="6"/>
  <c r="F38" i="6"/>
  <c r="F39" i="6"/>
  <c r="F40" i="6"/>
  <c r="F41" i="6"/>
  <c r="F74" i="6"/>
  <c r="G77" i="6"/>
  <c r="G64" i="6" a="1"/>
  <c r="G64" i="6"/>
  <c r="D38" i="6"/>
  <c r="D39" i="6"/>
  <c r="F77" i="6"/>
  <c r="F64" i="6" a="1"/>
  <c r="F64" i="6"/>
  <c r="E74" i="6"/>
  <c r="D40" i="6"/>
  <c r="D41" i="6"/>
  <c r="E77" i="6"/>
  <c r="E64" i="6" a="1"/>
  <c r="E64" i="6"/>
  <c r="D74" i="6"/>
  <c r="D77" i="6"/>
  <c r="D64" i="6" a="1"/>
  <c r="D64" i="6"/>
  <c r="D60" i="9"/>
  <c r="D62" i="9"/>
  <c r="E60" i="9"/>
  <c r="E62" i="9"/>
  <c r="F60" i="9"/>
  <c r="F62" i="9"/>
  <c r="G60" i="9"/>
  <c r="G62" i="9"/>
  <c r="D63" i="9"/>
  <c r="E63" i="9"/>
  <c r="F63" i="9"/>
  <c r="G63" i="9"/>
  <c r="D64" i="9"/>
  <c r="E64" i="9"/>
  <c r="F64" i="9"/>
  <c r="G64" i="9"/>
  <c r="E66" i="9"/>
  <c r="E67" i="9"/>
  <c r="E68" i="9"/>
  <c r="F66" i="9"/>
  <c r="F67" i="9"/>
  <c r="F68" i="9"/>
  <c r="G66" i="9"/>
  <c r="G67" i="9"/>
  <c r="G68" i="9"/>
  <c r="D66" i="9"/>
  <c r="D67" i="9"/>
  <c r="D68" i="9"/>
  <c r="D69" i="9"/>
  <c r="D70" i="9"/>
  <c r="E69" i="9"/>
  <c r="E70" i="9"/>
  <c r="F69" i="9"/>
  <c r="F70" i="9"/>
  <c r="G69" i="9"/>
  <c r="G70" i="9"/>
  <c r="G155" i="9"/>
  <c r="F155" i="9"/>
  <c r="G158" i="9"/>
  <c r="F158" i="9"/>
  <c r="E155" i="9"/>
  <c r="E158" i="9"/>
  <c r="D155" i="9"/>
  <c r="D158" i="9"/>
  <c r="L29" i="9"/>
  <c r="L117" i="9"/>
  <c r="M29" i="9"/>
  <c r="M117" i="9"/>
  <c r="O29" i="9"/>
  <c r="O117" i="9"/>
  <c r="P29" i="9"/>
  <c r="P117" i="9"/>
  <c r="Q29" i="9"/>
  <c r="Q117" i="9"/>
  <c r="R29" i="9"/>
  <c r="R117" i="9"/>
  <c r="S29" i="9"/>
  <c r="S117" i="9"/>
  <c r="T29" i="9"/>
  <c r="T117" i="9"/>
  <c r="U29" i="9"/>
  <c r="U117" i="9"/>
  <c r="V29" i="9"/>
  <c r="V117" i="9"/>
  <c r="H33" i="9"/>
  <c r="J33" i="9"/>
  <c r="M151" i="9"/>
  <c r="M118" i="9"/>
  <c r="M150" i="9"/>
  <c r="M33" i="9"/>
  <c r="N33" i="9"/>
  <c r="O151" i="9"/>
  <c r="O118" i="9"/>
  <c r="O150" i="9"/>
  <c r="O33" i="9"/>
  <c r="P151" i="9"/>
  <c r="P118" i="9"/>
  <c r="P150" i="9"/>
  <c r="P33" i="9"/>
  <c r="Q151" i="9"/>
  <c r="Q118" i="9"/>
  <c r="Q150" i="9"/>
  <c r="Q33" i="9"/>
  <c r="R151" i="9"/>
  <c r="R118" i="9"/>
  <c r="R150" i="9"/>
  <c r="R33" i="9"/>
  <c r="S151" i="9"/>
  <c r="S118" i="9"/>
  <c r="S150" i="9"/>
  <c r="S33" i="9"/>
  <c r="T151" i="9"/>
  <c r="T118" i="9"/>
  <c r="T150" i="9"/>
  <c r="T33" i="9"/>
  <c r="U151" i="9"/>
  <c r="U118" i="9"/>
  <c r="U150" i="9"/>
  <c r="U33" i="9"/>
  <c r="V151" i="9"/>
  <c r="V118" i="9"/>
  <c r="V150" i="9"/>
  <c r="V33" i="9"/>
  <c r="W117" i="9"/>
  <c r="W151" i="9"/>
  <c r="W118" i="9"/>
  <c r="W150" i="9"/>
  <c r="X117" i="9"/>
  <c r="X151" i="9"/>
  <c r="X118" i="9"/>
  <c r="X150" i="9"/>
  <c r="Y117" i="9"/>
  <c r="Y151" i="9"/>
  <c r="Y118" i="9"/>
  <c r="Y150" i="9"/>
  <c r="D29" i="9"/>
  <c r="D117" i="9"/>
  <c r="D118" i="9"/>
  <c r="E29" i="9"/>
  <c r="E117" i="9"/>
  <c r="E118" i="9"/>
  <c r="F29" i="9"/>
  <c r="F117" i="9"/>
  <c r="F118" i="9"/>
  <c r="N150" i="9"/>
  <c r="N151" i="9"/>
  <c r="N118" i="9"/>
  <c r="N117" i="9"/>
  <c r="N29" i="9"/>
  <c r="G29" i="9"/>
  <c r="G117" i="9"/>
  <c r="G118" i="9"/>
  <c r="D33" i="9"/>
  <c r="D150" i="9"/>
  <c r="D151" i="9"/>
  <c r="E150" i="9"/>
  <c r="E151" i="9"/>
  <c r="I33" i="9"/>
  <c r="E33" i="9"/>
  <c r="F33" i="9"/>
  <c r="F150" i="9"/>
  <c r="F151" i="9"/>
  <c r="L151" i="9"/>
  <c r="L118" i="9"/>
  <c r="L150" i="9"/>
  <c r="L33" i="9"/>
  <c r="G33" i="9"/>
  <c r="G150" i="9"/>
  <c r="G151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tc={A77EA3A7-8DAC-4BD3-9EAB-16AF015D9C6C}</author>
    <author>tc={E4B6DD90-96AE-419D-A19C-EE39C5F16F8C}</author>
    <author>tc={D72E951A-E7D2-4B63-A58A-121408BA1CBC}</author>
    <author>tc={DDABB4FB-17E3-4558-A1A9-8EE678BC8C93}</author>
    <author>tc={DADB715F-DF3F-4FED-8A82-0D24A8FEFD5D}</author>
    <author>tc={11A16DB9-EA17-470D-A898-A63D8353735C}</author>
    <author>tc={246BB711-FE01-4670-8060-3C7074D3D86D}</author>
    <author>tc={70E535FB-A7B8-449F-AFEC-0C36BDBFAB1E}</author>
    <author>tc={9674AAF6-49FA-44CF-9D1D-DD9EF1FE7E30}</author>
    <author>tc={F1BE4931-D52D-473C-AA2B-877A9F68EE16}</author>
    <author>tc={88CF9FD9-2CC1-4AD7-B13B-A23BD2FE9D71}</author>
    <author>tc={992DBE07-C4B9-49E1-8292-EAA1F4B3E0C9}</author>
    <author>tc={F31F2C4C-423F-4B67-8AA1-5E40A98F03AE}</author>
    <author>tc={40257547-D35F-422E-9386-A356DDB844BF}</author>
    <author>tc={056E3BA4-3A12-4609-BEA0-CA8507AA9164}</author>
    <author>tc={30F17ACA-2CE8-4837-98C0-0763C6483CDE}</author>
    <author>tc={89C65E53-0BD4-4485-A9D4-7AC867DB7FF3}</author>
    <author>tc={197DBEB0-5EDC-4C78-A2EA-675DCFF28F08}</author>
  </authors>
  <commentList>
    <comment ref="G13" authorId="0" shapeId="0" xr:uid="{A77EA3A7-8DAC-4BD3-9EAB-16AF015D9C6C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 (reg based)</t>
      </text>
    </comment>
    <comment ref="G14" authorId="1" shapeId="0" xr:uid="{E4B6DD90-96AE-419D-A19C-EE39C5F16F8C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G20" authorId="2" shapeId="0" xr:uid="{D72E951A-E7D2-4B63-A58A-121408BA1CB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larger due to COVID</t>
      </text>
    </comment>
    <comment ref="G21" authorId="3" shapeId="0" xr:uid="{DDABB4FB-17E3-4558-A1A9-8EE678BC8C93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G22" authorId="4" shapeId="0" xr:uid="{DADB715F-DF3F-4FED-8A82-0D24A8FEFD5D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G23" authorId="5" shapeId="0" xr:uid="{11A16DB9-EA17-470D-A898-A63D8353735C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</t>
      </text>
    </comment>
    <comment ref="G25" authorId="6" shapeId="0" xr:uid="{246BB711-FE01-4670-8060-3C7074D3D86D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G27" authorId="7" shapeId="0" xr:uid="{70E535FB-A7B8-449F-AFEC-0C36BDBFAB1E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 (reg based)</t>
      </text>
    </comment>
    <comment ref="G28" authorId="8" shapeId="0" xr:uid="{9674AAF6-49FA-44CF-9D1D-DD9EF1FE7E30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 (reg based)</t>
      </text>
    </comment>
    <comment ref="G30" authorId="9" shapeId="0" xr:uid="{F1BE4931-D52D-473C-AA2B-877A9F68EE16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D32" authorId="10" shapeId="0" xr:uid="{88CF9FD9-2CC1-4AD7-B13B-A23BD2FE9D71}">
      <text>
        <t>[Threaded comment]
Your version of Excel allows you to read this threaded comment; however, any edits to it will get removed if the file is opened in a newer version of Excel. Learn more: https://go.microsoft.com/fwlink/?linkid=870924
Comment:
    Reg based</t>
      </text>
    </comment>
    <comment ref="E32" authorId="11" shapeId="0" xr:uid="{992DBE07-C4B9-49E1-8292-EAA1F4B3E0C9}">
      <text>
        <t>[Threaded comment]
Your version of Excel allows you to read this threaded comment; however, any edits to it will get removed if the file is opened in a newer version of Excel. Learn more: https://go.microsoft.com/fwlink/?linkid=870924
Comment:
    Bad fit so assume last period historicals</t>
      </text>
    </comment>
    <comment ref="F32" authorId="12" shapeId="0" xr:uid="{F31F2C4C-423F-4B67-8AA1-5E40A98F03AE}">
      <text>
        <t>[Threaded comment]
Your version of Excel allows you to read this threaded comment; however, any edits to it will get removed if the file is opened in a newer version of Excel. Learn more: https://go.microsoft.com/fwlink/?linkid=870924
Comment:
    Bad fit so assume last period historicals</t>
      </text>
    </comment>
    <comment ref="G32" authorId="13" shapeId="0" xr:uid="{40257547-D35F-422E-9386-A356DDB844BF}">
      <text>
        <t>[Threaded comment]
Your version of Excel allows you to read this threaded comment; however, any edits to it will get removed if the file is opened in a newer version of Excel. Learn more: https://go.microsoft.com/fwlink/?linkid=870924
Comment:
    Bad fit so assume last period historicals</t>
      </text>
    </comment>
    <comment ref="L81" authorId="14" shapeId="0" xr:uid="{056E3BA4-3A12-4609-BEA0-CA8507AA9164}">
      <text>
        <t>[Threaded comment]
Your version of Excel allows you to read this threaded comment; however, any edits to it will get removed if the file is opened in a newer version of Excel. Learn more: https://go.microsoft.com/fwlink/?linkid=870924
Comment:
    Jump in quarter - look into</t>
      </text>
    </comment>
    <comment ref="L84" authorId="15" shapeId="0" xr:uid="{30F17ACA-2CE8-4837-98C0-0763C6483CDE}">
      <text>
        <t>[Threaded comment]
Your version of Excel allows you to read this threaded comment; however, any edits to it will get removed if the file is opened in a newer version of Excel. Learn more: https://go.microsoft.com/fwlink/?linkid=870924
Comment:
    Jump in quarter - look into</t>
      </text>
    </comment>
    <comment ref="B85" authorId="16" shapeId="0" xr:uid="{89C65E53-0BD4-4485-A9D4-7AC867DB7FF3}">
      <text>
        <t>[Threaded comment]
Your version of Excel allows you to read this threaded comment; however, any edits to it will get removed if the file is opened in a newer version of Excel. Learn more: https://go.microsoft.com/fwlink/?linkid=870924
Comment:
    PLUG</t>
      </text>
    </comment>
    <comment ref="B96" authorId="17" shapeId="0" xr:uid="{197DBEB0-5EDC-4C78-A2EA-675DCFF28F08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tc={5BE77DE2-F738-4930-A551-F53AED04E6E9}</author>
    <author>tc={A36EE150-2F15-431D-B124-9E2B4733DB91}</author>
    <author>tc={23E231CD-AB35-4A4A-AA9F-97598623F792}</author>
    <author>tc={55CAA348-6908-409A-A3E0-FF0176208496}</author>
    <author>tc={6C2CE38A-EA8E-439F-9F57-769C5A2027FA}</author>
    <author>tc={FC42A5F0-AE70-4590-97F7-44963645FBAF}</author>
    <author>tc={030917F3-34E7-4593-970C-368C9C2E84AB}</author>
    <author>tc={C2F99616-7297-4403-BC8E-C1A649438201}</author>
    <author>tc={2ED11B26-552E-4024-945D-A07420B463A9}</author>
    <author>tc={0F1F3FD0-4041-4F5A-8944-6EE434614986}</author>
    <author>tc={F17D49FD-3479-4045-98B3-E763CC6E10AC}</author>
    <author>tc={7CCB1063-6CEB-45AF-B8EC-9E5B10D0EC52}</author>
    <author>tc={F7317977-55C9-450B-B007-56021A9C669B}</author>
    <author>tc={C82F80C4-3F3E-4B4F-9E6E-9F97E718168B}</author>
    <author>tc={8F22001C-39EC-4C2A-A30C-1FFFFC3FFDAE}</author>
    <author>tc={BA44BEB3-7656-4A73-9C4F-7FD5D1F61F05}</author>
    <author>tc={82710FD0-642B-4AA2-9FD6-3D7124EB0692}</author>
    <author>tc={88833CD6-D850-44CC-90D3-4D6E9C16F7EE}</author>
    <author>tc={D60A9813-5912-4BA9-8024-E4C5D7B373F8}</author>
  </authors>
  <commentList>
    <comment ref="G9" authorId="0" shapeId="0" xr:uid="{5BE77DE2-F738-4930-A551-F53AED04E6E9}">
      <text>
        <t>[Threaded comment]
Your version of Excel allows you to read this threaded comment; however, any edits to it will get removed if the file is opened in a newer version of Excel. Learn more: https://go.microsoft.com/fwlink/?linkid=870924
Comment:
    Sporadic, so avg</t>
      </text>
    </comment>
    <comment ref="G10" authorId="1" shapeId="0" xr:uid="{A36EE150-2F15-431D-B124-9E2B4733DB91}">
      <text>
        <t>[Threaded comment]
Your version of Excel allows you to read this threaded comment; however, any edits to it will get removed if the file is opened in a newer version of Excel. Learn more: https://go.microsoft.com/fwlink/?linkid=870924
Comment:
    Sporadic, so avg</t>
      </text>
    </comment>
    <comment ref="G11" authorId="2" shapeId="0" xr:uid="{23E231CD-AB35-4A4A-AA9F-97598623F792}">
      <text>
        <t>[Threaded comment]
Your version of Excel allows you to read this threaded comment; however, any edits to it will get removed if the file is opened in a newer version of Excel. Learn more: https://go.microsoft.com/fwlink/?linkid=870924
Comment:
    Sporadic, so avg</t>
      </text>
    </comment>
    <comment ref="G12" authorId="3" shapeId="0" xr:uid="{55CAA348-6908-409A-A3E0-FF0176208496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 (reg based)</t>
      </text>
    </comment>
    <comment ref="G13" authorId="4" shapeId="0" xr:uid="{6C2CE38A-EA8E-439F-9F57-769C5A2027FA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 (reg based)</t>
      </text>
    </comment>
    <comment ref="G14" authorId="5" shapeId="0" xr:uid="{FC42A5F0-AE70-4590-97F7-44963645FBAF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 (reg based)</t>
      </text>
    </comment>
    <comment ref="G22" authorId="6" shapeId="0" xr:uid="{030917F3-34E7-4593-970C-368C9C2E84AB}">
      <text>
        <t>[Threaded comment]
Your version of Excel allows you to read this threaded comment; however, any edits to it will get removed if the file is opened in a newer version of Excel. Learn more: https://go.microsoft.com/fwlink/?linkid=870924
Comment:
    Omit goodwill tax break</t>
      </text>
    </comment>
    <comment ref="G31" authorId="7" shapeId="0" xr:uid="{C2F99616-7297-4403-BC8E-C1A649438201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G33" authorId="8" shapeId="0" xr:uid="{2ED11B26-552E-4024-945D-A07420B463A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stagnates</t>
      </text>
    </comment>
    <comment ref="G35" authorId="9" shapeId="0" xr:uid="{0F1F3FD0-4041-4F5A-8944-6EE434614986}">
      <text>
        <t>[Threaded comment]
Your version of Excel allows you to read this threaded comment; however, any edits to it will get removed if the file is opened in a newer version of Excel. Learn more: https://go.microsoft.com/fwlink/?linkid=870924
Comment:
    Jumps</t>
      </text>
    </comment>
    <comment ref="G36" authorId="10" shapeId="0" xr:uid="{F17D49FD-3479-4045-98B3-E763CC6E10AC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G37" authorId="11" shapeId="0" xr:uid="{7CCB1063-6CEB-45AF-B8EC-9E5B10D0EC52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G39" authorId="12" shapeId="0" xr:uid="{F7317977-55C9-450B-B007-56021A9C669B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G42" authorId="13" shapeId="0" xr:uid="{C82F80C4-3F3E-4B4F-9E6E-9F97E718168B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G43" authorId="14" shapeId="0" xr:uid="{8F22001C-39EC-4C2A-A30C-1FFFFC3FFDAE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G44" authorId="15" shapeId="0" xr:uid="{BA44BEB3-7656-4A73-9C4F-7FD5D1F61F05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M73" authorId="16" shapeId="0" xr:uid="{82710FD0-642B-4AA2-9FD6-3D7124EB0692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formula</t>
      </text>
    </comment>
    <comment ref="T119" authorId="17" shapeId="0" xr:uid="{88833CD6-D850-44CC-90D3-4D6E9C16F7E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not provided</t>
      </text>
    </comment>
    <comment ref="B120" authorId="18" shapeId="0" xr:uid="{D60A9813-5912-4BA9-8024-E4C5D7B373F8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if one timer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tc={229F3DC6-13BC-4F5C-8F29-0E1B3BDF113E}</author>
    <author>tc={AF9375CC-CCA7-494A-A197-D702C9796148}</author>
    <author>tc={EF91E9BF-55F3-4BDD-BBD5-073B16933490}</author>
    <author>tc={D96988CD-4266-41E7-8D76-50FBB89A5783}</author>
    <author>tc={5D8D4173-85C6-4F37-A36A-41AD66966C44}</author>
  </authors>
  <commentList>
    <comment ref="F8" authorId="0" shapeId="0" xr:uid="{229F3DC6-13BC-4F5C-8F29-0E1B3BDF113E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TRUE, average of past most recent twp quarters</t>
      </text>
    </comment>
    <comment ref="B11" authorId="1" shapeId="0" xr:uid="{AF9375CC-CCA7-494A-A197-D702C9796148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 INTO</t>
      </text>
    </comment>
    <comment ref="B12" authorId="2" shapeId="0" xr:uid="{EF91E9BF-55F3-4BDD-BBD5-073B16933490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 INTO</t>
      </text>
    </comment>
    <comment ref="B41" authorId="3" shapeId="0" xr:uid="{D96988CD-4266-41E7-8D76-50FBB89A5783}">
      <text>
        <t>[Threaded comment]
Your version of Excel allows you to read this threaded comment; however, any edits to it will get removed if the file is opened in a newer version of Excel. Learn more: https://go.microsoft.com/fwlink/?linkid=870924
Comment:
    Zeroed out because of how it appears on original IS</t>
      </text>
    </comment>
    <comment ref="B64" authorId="4" shapeId="0" xr:uid="{5D8D4173-85C6-4F37-A36A-41AD66966C4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plug number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tc={E9CABDA6-BB1F-4468-BEED-21E2FF881C19}</author>
    <author>tc={808A2FF0-2B39-4B27-8531-09BFA85161E1}</author>
    <author>tc={87BDFBC0-6EAD-4271-BE3F-A2727BF0CE63}</author>
    <author>tc={F36F645B-195F-4157-B606-827CA96D0B16}</author>
    <author>tc={48EA332B-DB38-454C-AB7D-04FC441D1846}</author>
  </authors>
  <commentList>
    <comment ref="F8" authorId="0" shapeId="0" xr:uid="{E9CABDA6-BB1F-4468-BEED-21E2FF881C19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TRUE, average of past most recent twp quarters</t>
      </text>
    </comment>
    <comment ref="F33" authorId="1" shapeId="0" xr:uid="{808A2FF0-2B39-4B27-8531-09BFA85161E1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int as last period</t>
      </text>
    </comment>
    <comment ref="G33" authorId="2" shapeId="0" xr:uid="{87BDFBC0-6EAD-4271-BE3F-A2727BF0CE63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int as last period</t>
      </text>
    </comment>
    <comment ref="B65" authorId="3" shapeId="0" xr:uid="{F36F645B-195F-4157-B606-827CA96D0B16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anomaly in Jun-20. Seek further clarification to make sure this is not expected in the future.</t>
      </text>
    </comment>
    <comment ref="B118" authorId="4" shapeId="0" xr:uid="{48EA332B-DB38-454C-AB7D-04FC441D1846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assets used as plug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tc={029E3889-785A-407F-95F1-A00576DE6B65}</author>
    <author>tc={96841365-FC2A-4D00-B280-EE1FAD203BF8}</author>
    <author>tc={CAA5CA6B-B0B0-4941-BD3D-4317F7BE2A81}</author>
    <author>tc={89418B02-3FA7-435E-8B86-35EF8084813E}</author>
    <author>tc={17356F9D-1830-4216-A819-F5327FF6A948}</author>
    <author>tc={007EED60-0642-4116-B6A6-A8A828B07175}</author>
    <author>tc={A08F6883-502A-405C-8B3F-AB28D071CDEE}</author>
    <author>tc={0AE913A7-883E-436B-8143-9F09958A2322}</author>
    <author>tc={74D7A868-7E48-4623-8097-B23BFACBC8F6}</author>
    <author>tc={F2186B3F-B569-4476-B58F-91454A0A8E26}</author>
    <author>tc={5ADE6CEC-5BD0-4FBC-9DB1-833FF56A51E2}</author>
    <author>tc={91EE1EE3-F236-49E3-AD33-E3DA29F187F2}</author>
    <author>tc={545CA9D6-00BA-4DA6-8B0E-50C1A521C992}</author>
  </authors>
  <commentList>
    <comment ref="F8" authorId="0" shapeId="0" xr:uid="{029E3889-785A-407F-95F1-A00576DE6B65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TRUE, average of past most recent twp quarters</t>
      </text>
    </comment>
    <comment ref="AI12" authorId="1" shapeId="0" xr:uid="{96841365-FC2A-4D00-B280-EE1FAD203BF8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Estimating the trend you see on the graph</t>
      </text>
    </comment>
    <comment ref="D13" authorId="2" shapeId="0" xr:uid="{CAA5CA6B-B0B0-4941-BD3D-4317F7BE2A81}">
      <text>
        <t>[Threaded comment]
Your version of Excel allows you to read this threaded comment; however, any edits to it will get removed if the file is opened in a newer version of Excel. Learn more: https://go.microsoft.com/fwlink/?linkid=870924
Comment:
    Potentially change due to covid</t>
      </text>
    </comment>
    <comment ref="E13" authorId="3" shapeId="0" xr:uid="{89418B02-3FA7-435E-8B86-35EF8084813E}">
      <text>
        <t>[Threaded comment]
Your version of Excel allows you to read this threaded comment; however, any edits to it will get removed if the file is opened in a newer version of Excel. Learn more: https://go.microsoft.com/fwlink/?linkid=870924
Comment:
    Potentially change due to covid</t>
      </text>
    </comment>
    <comment ref="G13" authorId="4" shapeId="0" xr:uid="{17356F9D-1830-4216-A819-F5327FF6A948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D14" authorId="5" shapeId="0" xr:uid="{007EED60-0642-4116-B6A6-A8A828B07175}">
      <text>
        <t>[Threaded comment]
Your version of Excel allows you to read this threaded comment; however, any edits to it will get removed if the file is opened in a newer version of Excel. Learn more: https://go.microsoft.com/fwlink/?linkid=870924
Comment:
    Potentially change due to covid</t>
      </text>
    </comment>
    <comment ref="E14" authorId="6" shapeId="0" xr:uid="{A08F6883-502A-405C-8B3F-AB28D071CDEE}">
      <text>
        <t>[Threaded comment]
Your version of Excel allows you to read this threaded comment; however, any edits to it will get removed if the file is opened in a newer version of Excel. Learn more: https://go.microsoft.com/fwlink/?linkid=870924
Comment:
    Potentially change due to covid</t>
      </text>
    </comment>
    <comment ref="G14" authorId="7" shapeId="0" xr:uid="{0AE913A7-883E-436B-8143-9F09958A2322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G18" authorId="8" shapeId="0" xr:uid="{74D7A868-7E48-4623-8097-B23BFACBC8F6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G19" authorId="9" shapeId="0" xr:uid="{F2186B3F-B569-4476-B58F-91454A0A8E26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W19" authorId="10" shapeId="0" xr:uid="{5ADE6CEC-5BD0-4FBC-9DB1-833FF56A51E2}">
      <text>
        <t>[Threaded comment]
Your version of Excel allows you to read this threaded comment; however, any edits to it will get removed if the file is opened in a newer version of Excel. Learn more: https://go.microsoft.com/fwlink/?linkid=870924
Comment:
    Unused, only observed</t>
      </text>
    </comment>
    <comment ref="G20" authorId="11" shapeId="0" xr:uid="{91EE1EE3-F236-49E3-AD33-E3DA29F187F2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W20" authorId="12" shapeId="0" xr:uid="{545CA9D6-00BA-4DA6-8B0E-50C1A521C992}">
      <text>
        <t>[Threaded comment]
Your version of Excel allows you to read this threaded comment; however, any edits to it will get removed if the file is opened in a newer version of Excel. Learn more: https://go.microsoft.com/fwlink/?linkid=870924
Comment:
    Unused, only observed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tc={30E59F61-27F1-4943-885E-602BD121FC3B}</author>
    <author>tc={542B3F8A-93B3-4FC0-89C1-D8EA97134057}</author>
    <author>tc={D1F617E3-DF23-482E-93E0-3DF652B4FF75}</author>
    <author>tc={7C5A2605-6A45-46B0-8D43-BE88D6B49348}</author>
    <author>tc={F2BBD9E7-CED1-4CB2-9D91-CE90F07C8576}</author>
    <author>tc={9E7D0435-B732-40F8-B29D-CCE7A3C8127E}</author>
    <author>tc={B39B7572-E8FF-4A6C-BE68-176775DEF58A}</author>
  </authors>
  <commentList>
    <comment ref="F8" authorId="0" shapeId="0" xr:uid="{30E59F61-27F1-4943-885E-602BD121FC3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TRUE, average of past most recent twp quarters</t>
      </text>
    </comment>
    <comment ref="B33" authorId="1" shapeId="0" xr:uid="{542B3F8A-93B3-4FC0-89C1-D8EA97134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Sporadic, held random for now - check to see cause</t>
      </text>
    </comment>
    <comment ref="B35" authorId="2" shapeId="0" xr:uid="{D1F617E3-DF23-482E-93E0-3DF652B4FF75}">
      <text>
        <t>[Threaded comment]
Your version of Excel allows you to read this threaded comment; however, any edits to it will get removed if the file is opened in a newer version of Excel. Learn more: https://go.microsoft.com/fwlink/?linkid=870924
Comment:
    Random prob</t>
      </text>
    </comment>
    <comment ref="B37" authorId="3" shapeId="0" xr:uid="{7C5A2605-6A45-46B0-8D43-BE88D6B49348}">
      <text>
        <t>[Threaded comment]
Your version of Excel allows you to read this threaded comment; however, any edits to it will get removed if the file is opened in a newer version of Excel. Learn more: https://go.microsoft.com/fwlink/?linkid=870924
Comment:
    Random
Reply:
    Because there is no short term investments in CA</t>
      </text>
    </comment>
    <comment ref="B108" authorId="4" shapeId="0" xr:uid="{F2BBD9E7-CED1-4CB2-9D91-CE90F07C8576}">
      <text>
        <t>[Threaded comment]
Your version of Excel allows you to read this threaded comment; however, any edits to it will get removed if the file is opened in a newer version of Excel. Learn more: https://go.microsoft.com/fwlink/?linkid=870924
Comment:
    Plug</t>
      </text>
    </comment>
    <comment ref="B115" authorId="5" shapeId="0" xr:uid="{9E7D0435-B732-40F8-B29D-CCE7A3C8127E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why stopped</t>
      </text>
    </comment>
    <comment ref="B116" authorId="6" shapeId="0" xr:uid="{B39B7572-E8FF-4A6C-BE68-176775DEF58A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why stopped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<sst xmlns="http://schemas.openxmlformats.org/spreadsheetml/2006/main" count="3278" uniqueCount="870">
  <si>
    <t>Mean</t>
  </si>
  <si>
    <t>Standard Dev</t>
  </si>
  <si>
    <t>Max</t>
  </si>
  <si>
    <t>75% Quartile</t>
  </si>
  <si>
    <t>Min</t>
  </si>
  <si>
    <t>Last Trade Time</t>
  </si>
  <si>
    <t>Ticker</t>
  </si>
  <si>
    <t>Pre-Calculated P/E Ratio</t>
  </si>
  <si>
    <t>Manually Caculated P/E Ratio</t>
  </si>
  <si>
    <t>Forward P/E Ratio</t>
  </si>
  <si>
    <t>Book to Market</t>
  </si>
  <si>
    <t>BM Above 75th Quartile</t>
  </si>
  <si>
    <t>NA</t>
  </si>
  <si>
    <t>BHA</t>
  </si>
  <si>
    <t>ELA</t>
  </si>
  <si>
    <t>FRG</t>
  </si>
  <si>
    <t>GAN</t>
  </si>
  <si>
    <t>MGNI</t>
  </si>
  <si>
    <t>SWBI</t>
  </si>
  <si>
    <t>VVNT</t>
  </si>
  <si>
    <t>HUD</t>
  </si>
  <si>
    <t>DDS</t>
  </si>
  <si>
    <t>SFIX</t>
  </si>
  <si>
    <t>WKHS</t>
  </si>
  <si>
    <t>OSW</t>
  </si>
  <si>
    <t>BBBY</t>
  </si>
  <si>
    <t>GME</t>
  </si>
  <si>
    <t>QUOT</t>
  </si>
  <si>
    <t>CZR</t>
  </si>
  <si>
    <t>SEAS</t>
  </si>
  <si>
    <t>BH</t>
  </si>
  <si>
    <t>CHS</t>
  </si>
  <si>
    <t>GDEN</t>
  </si>
  <si>
    <t>RRGB</t>
  </si>
  <si>
    <t>EXPR</t>
  </si>
  <si>
    <t>FOSL</t>
  </si>
  <si>
    <t>CPS</t>
  </si>
  <si>
    <t>TH</t>
  </si>
  <si>
    <t>AGS</t>
  </si>
  <si>
    <t>HMHC</t>
  </si>
  <si>
    <t>MIK</t>
  </si>
  <si>
    <t>TEN</t>
  </si>
  <si>
    <t>SBH</t>
  </si>
  <si>
    <t>ODP</t>
  </si>
  <si>
    <t>MOD</t>
  </si>
  <si>
    <t>CATO</t>
  </si>
  <si>
    <t>GPI</t>
  </si>
  <si>
    <t>GIII</t>
  </si>
  <si>
    <t>CAL</t>
  </si>
  <si>
    <t>MHO</t>
  </si>
  <si>
    <t>GPRO</t>
  </si>
  <si>
    <t>GCO</t>
  </si>
  <si>
    <t>TMHC</t>
  </si>
  <si>
    <t>RGS</t>
  </si>
  <si>
    <t>DAN</t>
  </si>
  <si>
    <t>RICK</t>
  </si>
  <si>
    <t>TPH</t>
  </si>
  <si>
    <t>ADNT</t>
  </si>
  <si>
    <t>SIG</t>
  </si>
  <si>
    <t>VRA</t>
  </si>
  <si>
    <t>BIG</t>
  </si>
  <si>
    <t>MPAA</t>
  </si>
  <si>
    <t>NBEV</t>
  </si>
  <si>
    <t>CCS</t>
  </si>
  <si>
    <t>CRMT</t>
  </si>
  <si>
    <t>ABG</t>
  </si>
  <si>
    <t>MOV</t>
  </si>
  <si>
    <t>MDC</t>
  </si>
  <si>
    <t>UEIC</t>
  </si>
  <si>
    <t>CONN</t>
  </si>
  <si>
    <t>RCII</t>
  </si>
  <si>
    <t>KTB</t>
  </si>
  <si>
    <t>M</t>
  </si>
  <si>
    <t>WW</t>
  </si>
  <si>
    <t>GRBK</t>
  </si>
  <si>
    <t>ATGE</t>
  </si>
  <si>
    <t>DBI</t>
  </si>
  <si>
    <t>BZH</t>
  </si>
  <si>
    <t>BXG</t>
  </si>
  <si>
    <t>HBB</t>
  </si>
  <si>
    <t>SAH</t>
  </si>
  <si>
    <t>LEGH</t>
  </si>
  <si>
    <t>MTH</t>
  </si>
  <si>
    <t>CSV</t>
  </si>
  <si>
    <t>HZO</t>
  </si>
  <si>
    <t>KBH</t>
  </si>
  <si>
    <t>HOME</t>
  </si>
  <si>
    <t>ZUMZ</t>
  </si>
  <si>
    <t>TUP</t>
  </si>
  <si>
    <t>BKE</t>
  </si>
  <si>
    <t>HOFT</t>
  </si>
  <si>
    <t>GES</t>
  </si>
  <si>
    <t>VSTO</t>
  </si>
  <si>
    <t>CTB</t>
  </si>
  <si>
    <t>RCKY</t>
  </si>
  <si>
    <t>AAN</t>
  </si>
  <si>
    <t>WEYS</t>
  </si>
  <si>
    <t>CTRN</t>
  </si>
  <si>
    <t>SCVL</t>
  </si>
  <si>
    <t>TLYS</t>
  </si>
  <si>
    <t>DIN</t>
  </si>
  <si>
    <t>LCUT</t>
  </si>
  <si>
    <t>LZB</t>
  </si>
  <si>
    <t>FNKO</t>
  </si>
  <si>
    <t>WWW</t>
  </si>
  <si>
    <t>HIBB</t>
  </si>
  <si>
    <t>URBN</t>
  </si>
  <si>
    <t>EAT</t>
  </si>
  <si>
    <t>AEO</t>
  </si>
  <si>
    <t>LAD</t>
  </si>
  <si>
    <t>PLCE</t>
  </si>
  <si>
    <t>CNTY</t>
  </si>
  <si>
    <t>SHOO</t>
  </si>
  <si>
    <t>GT</t>
  </si>
  <si>
    <t>SMP</t>
  </si>
  <si>
    <t>SGC</t>
  </si>
  <si>
    <t>JOUT</t>
  </si>
  <si>
    <t>ETH</t>
  </si>
  <si>
    <t>ESCA</t>
  </si>
  <si>
    <t>CBRL</t>
  </si>
  <si>
    <t>SNBR</t>
  </si>
  <si>
    <t>RGR</t>
  </si>
  <si>
    <t>JACK</t>
  </si>
  <si>
    <t>AXL</t>
  </si>
  <si>
    <t>CORE</t>
  </si>
  <si>
    <t>OXM</t>
  </si>
  <si>
    <t>VAC</t>
  </si>
  <si>
    <t>LAKE</t>
  </si>
  <si>
    <t>HEAR</t>
  </si>
  <si>
    <t>IGT</t>
  </si>
  <si>
    <t>LAUR</t>
  </si>
  <si>
    <t>BOOT</t>
  </si>
  <si>
    <t>NLS</t>
  </si>
  <si>
    <t>DLTH</t>
  </si>
  <si>
    <t>TCS</t>
  </si>
  <si>
    <t>HVT</t>
  </si>
  <si>
    <t>MCRI</t>
  </si>
  <si>
    <t>ANF</t>
  </si>
  <si>
    <t>LOCO</t>
  </si>
  <si>
    <t>APEI</t>
  </si>
  <si>
    <t>CLAR</t>
  </si>
  <si>
    <t>MNRO</t>
  </si>
  <si>
    <t>LL</t>
  </si>
  <si>
    <t>ELY</t>
  </si>
  <si>
    <t>GOLF</t>
  </si>
  <si>
    <t>TACO</t>
  </si>
  <si>
    <t>LRN</t>
  </si>
  <si>
    <t>DENN</t>
  </si>
  <si>
    <t>CHUY</t>
  </si>
  <si>
    <t>CAKE</t>
  </si>
  <si>
    <t>SRI</t>
  </si>
  <si>
    <t>UTI</t>
  </si>
  <si>
    <t>UFI</t>
  </si>
  <si>
    <t>BYD</t>
  </si>
  <si>
    <t>NDLS</t>
  </si>
  <si>
    <t>KRUS</t>
  </si>
  <si>
    <t>PZZA</t>
  </si>
  <si>
    <t>GRPN</t>
  </si>
  <si>
    <t>LE</t>
  </si>
  <si>
    <t>VOXX</t>
  </si>
  <si>
    <t>BJRI</t>
  </si>
  <si>
    <t>EYE</t>
  </si>
  <si>
    <t>TAST</t>
  </si>
  <si>
    <t>PENN</t>
  </si>
  <si>
    <t>FRGI</t>
  </si>
  <si>
    <t>SGMS</t>
  </si>
  <si>
    <t>PLAY</t>
  </si>
  <si>
    <t>LQDT</t>
  </si>
  <si>
    <t>RRR</t>
  </si>
  <si>
    <t>PRTS</t>
  </si>
  <si>
    <t>EVRI</t>
  </si>
  <si>
    <t>OSTK</t>
  </si>
  <si>
    <t>BBX</t>
  </si>
  <si>
    <t>Inf</t>
  </si>
  <si>
    <t>CLCT</t>
  </si>
  <si>
    <t>WINA</t>
  </si>
  <si>
    <t>NATH</t>
  </si>
  <si>
    <t>CSPR</t>
  </si>
  <si>
    <t>Notes on Relevent Assumptions Leading up to Earnings Model</t>
  </si>
  <si>
    <t>Rank</t>
  </si>
  <si>
    <t>* Based on non-negative forward PE Ratios who appeared above the 75% quartile in book to market ratios</t>
  </si>
  <si>
    <t>** First 3 stocks appear in top 8 (of 164) non-negative P/E Ratios, and others appear in top 16 (of 164)</t>
  </si>
  <si>
    <t>M/I Homes Inc (NYS: MHO)</t>
  </si>
  <si>
    <t>Drivers of Model</t>
  </si>
  <si>
    <t>Slope</t>
  </si>
  <si>
    <t>Intercept</t>
  </si>
  <si>
    <t>R Squared</t>
  </si>
  <si>
    <t>Trend %/%</t>
  </si>
  <si>
    <t>Revenue % YoY</t>
  </si>
  <si>
    <t>Interest payments as % of average debt</t>
  </si>
  <si>
    <t>Depreciation as % of assets at cost</t>
  </si>
  <si>
    <t>Effective tax rate (% of profit before tax)</t>
  </si>
  <si>
    <t>Share count growth % YoY</t>
  </si>
  <si>
    <t>Account Information</t>
  </si>
  <si>
    <t>Forecast</t>
  </si>
  <si>
    <t>As Reported Historical Data</t>
  </si>
  <si>
    <t>Report Date</t>
  </si>
  <si>
    <t>Quarter</t>
  </si>
  <si>
    <t>2nd Quarter</t>
  </si>
  <si>
    <t>1st Quarter</t>
  </si>
  <si>
    <t>3rd Quarter</t>
  </si>
  <si>
    <t xml:space="preserve">Income Statement </t>
  </si>
  <si>
    <t>Revenue</t>
  </si>
  <si>
    <t>Land &amp; housing expenses</t>
  </si>
  <si>
    <t>General &amp; administrative expense</t>
  </si>
  <si>
    <t>Selling expenses</t>
  </si>
  <si>
    <t>Acquisition &amp; integration costs</t>
  </si>
  <si>
    <t>-</t>
  </si>
  <si>
    <t>Equity in income (loss) of unconsolidated joint ventures</t>
  </si>
  <si>
    <t>Equity in income (loss) from joint venture arrangements</t>
  </si>
  <si>
    <t>Interest expenses</t>
  </si>
  <si>
    <t>Total costs &amp; expenses</t>
  </si>
  <si>
    <t>Income (loss) before income taxes</t>
  </si>
  <si>
    <t>Provision (benefit) for income taxes</t>
  </si>
  <si>
    <t>Net income (loss)</t>
  </si>
  <si>
    <t>Preferred dividends</t>
  </si>
  <si>
    <t>Excess of fair value over book value of preferred shares subject to redemption</t>
  </si>
  <si>
    <t>Net income (loss) to common shareholders</t>
  </si>
  <si>
    <t>Weighted average shares outstanding - basic</t>
  </si>
  <si>
    <t>Weighted average shares outstanding - diluted</t>
  </si>
  <si>
    <t>Year end shares outstanding</t>
  </si>
  <si>
    <t>Net earnings (loss) per common share - basic</t>
  </si>
  <si>
    <t>Net earnings (loss) per common share - diluted</t>
  </si>
  <si>
    <t>Balance Sheet</t>
  </si>
  <si>
    <t>Current Assets</t>
  </si>
  <si>
    <t>Cash &amp; cash equivalents</t>
  </si>
  <si>
    <t>Restricted cash</t>
  </si>
  <si>
    <t>Cash, cash equivalents &amp; restricted cash</t>
  </si>
  <si>
    <t>Mortgage loans held for sale</t>
  </si>
  <si>
    <t>Single-family lots, land &amp; land development costs</t>
  </si>
  <si>
    <t>Land held for sale</t>
  </si>
  <si>
    <t>Homes under construction</t>
  </si>
  <si>
    <t>Model homes &amp; furnishings - at cost</t>
  </si>
  <si>
    <t>Community development district infrastructure</t>
  </si>
  <si>
    <t>Land purchase deposits</t>
  </si>
  <si>
    <t>Consolidated inventory not owned</t>
  </si>
  <si>
    <t>Inventory</t>
  </si>
  <si>
    <t>Long Term Assets</t>
  </si>
  <si>
    <t>Property &amp; equipment - net</t>
  </si>
  <si>
    <t>Investment in joint venture arrangements</t>
  </si>
  <si>
    <t>Operating lease right-of-use assets</t>
  </si>
  <si>
    <t>Deferred income tax asset</t>
  </si>
  <si>
    <t>Goodwill</t>
  </si>
  <si>
    <t>Other assets</t>
  </si>
  <si>
    <t>Total assets</t>
  </si>
  <si>
    <t>Current Liabilities</t>
  </si>
  <si>
    <t>Accounts payable</t>
  </si>
  <si>
    <t>Customer deposits</t>
  </si>
  <si>
    <t>Operating lease liabilities</t>
  </si>
  <si>
    <t>Other liabilities</t>
  </si>
  <si>
    <t xml:space="preserve"> </t>
  </si>
  <si>
    <t>Preferred share subject to redemption</t>
  </si>
  <si>
    <t>Community development district obligations</t>
  </si>
  <si>
    <t>Obligation for consolidated inventory not owned</t>
  </si>
  <si>
    <t>Long-Term Liabilities</t>
  </si>
  <si>
    <t>Notes payable banks - homebuilding operations</t>
  </si>
  <si>
    <t>Notes payable bank - financial services operations</t>
  </si>
  <si>
    <t>Notes payable - other</t>
  </si>
  <si>
    <t>Senior notes</t>
  </si>
  <si>
    <t>Total liabilities</t>
  </si>
  <si>
    <t>Preferred shares</t>
  </si>
  <si>
    <t>Common shares</t>
  </si>
  <si>
    <t>Additional paid-in capital</t>
  </si>
  <si>
    <t>Retained earnings (accumulated deficit)</t>
  </si>
  <si>
    <t>Treasury shares, at cost</t>
  </si>
  <si>
    <t>Total shareholders' equity (deficit)</t>
  </si>
  <si>
    <t>Statement of Cash Flows</t>
  </si>
  <si>
    <t>Equity in loss (income) of joint venture arrangements</t>
  </si>
  <si>
    <t>Mortgage loan originations</t>
  </si>
  <si>
    <t>Proceeds from the sale of mortgage loans</t>
  </si>
  <si>
    <t>Fair value adjustment of mortgage loans held for sale</t>
  </si>
  <si>
    <t>Fair value adjustment of mortgage servicing rights</t>
  </si>
  <si>
    <t>Capitalization of originated mortgage servicing rights</t>
  </si>
  <si>
    <t>Amortization of mortgage servicing rights</t>
  </si>
  <si>
    <t>Depreciation</t>
  </si>
  <si>
    <t>Amortization of debt discount &amp; debt issue costs</t>
  </si>
  <si>
    <t>Loss (gain) on extinguishment of debt</t>
  </si>
  <si>
    <t>Stock-based compensation expense</t>
  </si>
  <si>
    <t>Deferred income tax expense (benefit)</t>
  </si>
  <si>
    <t>Cash held in escrow</t>
  </si>
  <si>
    <t>Accrued compensation</t>
  </si>
  <si>
    <t>Net cash flows from operating activities</t>
  </si>
  <si>
    <t>Purchase of property &amp; equipment</t>
  </si>
  <si>
    <t>Return of capital from joint venture arrangements</t>
  </si>
  <si>
    <t>Change in restricted cash</t>
  </si>
  <si>
    <t>Acquisition</t>
  </si>
  <si>
    <t>Proceeds from sale of mortgage servicing rights</t>
  </si>
  <si>
    <t>Net cash flows from investing activities</t>
  </si>
  <si>
    <t>Net proceeds from issuance of senior notes</t>
  </si>
  <si>
    <t>Proceeds from bank borrowings - homebuilding operations</t>
  </si>
  <si>
    <t>Repayment of bank borrowings - homebuilding operations</t>
  </si>
  <si>
    <t>Net proceeds from bank borrowings - financial services operations</t>
  </si>
  <si>
    <t>Net repayment of bank borrowings - financial services operations</t>
  </si>
  <si>
    <t>Proceeds from (principal repayment of) notes payable - other &amp; community development district bond obligations</t>
  </si>
  <si>
    <t>Dividends paid on preferred shares</t>
  </si>
  <si>
    <t>Payments for repurchase of common stock</t>
  </si>
  <si>
    <t>Debt issue costs</t>
  </si>
  <si>
    <t>Proceeds from exercise of stock options</t>
  </si>
  <si>
    <t>Net cash flows from financing activities</t>
  </si>
  <si>
    <t>Net increase (decrease) in cash, cash equivalents &amp; restricted cash</t>
  </si>
  <si>
    <t>Cash, cash equivalents &amp; restricted cash balance at beginning of period</t>
  </si>
  <si>
    <t>Cash, cash equivalents &amp; restricted cash balance at end of period</t>
  </si>
  <si>
    <t>Cash paid (received) during the period for interest - net of amount capitalized</t>
  </si>
  <si>
    <t>Cash paid during the period for income taxes</t>
  </si>
  <si>
    <t>Aaron's Inc (NYS: AAN)</t>
  </si>
  <si>
    <t>OpEx Trends</t>
  </si>
  <si>
    <t>Interest income as % of loan receivable</t>
  </si>
  <si>
    <t>Paid In Capital Trends</t>
  </si>
  <si>
    <t>Less: treasury shares at cost common stock % of SE</t>
  </si>
  <si>
    <t>Lease revenues &amp; fees</t>
  </si>
  <si>
    <t>Retail sales</t>
  </si>
  <si>
    <t>Non-retail sales</t>
  </si>
  <si>
    <t>Franchise royalties &amp; fees</t>
  </si>
  <si>
    <t>Interest &amp; fees on loans receivable</t>
  </si>
  <si>
    <t>Other revenues</t>
  </si>
  <si>
    <t>Total revenues</t>
  </si>
  <si>
    <t>Depreciation of lease merchandise</t>
  </si>
  <si>
    <t>Retail cost of sales</t>
  </si>
  <si>
    <t>Non-retail cost of sales</t>
  </si>
  <si>
    <t>Operating expenses</t>
  </si>
  <si>
    <t>Restructuring expenses (reversals), net</t>
  </si>
  <si>
    <t>Impairment of goodwill</t>
  </si>
  <si>
    <t>Other operating expense (income), net</t>
  </si>
  <si>
    <t>Operating profit (loss)</t>
  </si>
  <si>
    <t>Interest income</t>
  </si>
  <si>
    <t>Interest expense</t>
  </si>
  <si>
    <t>Impairment of investment</t>
  </si>
  <si>
    <t>Other non-operating income (expense), net</t>
  </si>
  <si>
    <t>Earnings (loss) before income taxes</t>
  </si>
  <si>
    <t>Income tax expense (benefit)</t>
  </si>
  <si>
    <t>Net earnings (loss)</t>
  </si>
  <si>
    <t>Weighted average shares outstanding0basic</t>
  </si>
  <si>
    <t>Cah dividends declared per common stock</t>
  </si>
  <si>
    <t>Investments</t>
  </si>
  <si>
    <t>Accounts receivable, gross</t>
  </si>
  <si>
    <t>Less: allowances</t>
  </si>
  <si>
    <t>Accounts receivable, net</t>
  </si>
  <si>
    <t>Lease merchandise, gross</t>
  </si>
  <si>
    <t>Less: accumulated depreciation &amp; allowances &amp; lease merchandise</t>
  </si>
  <si>
    <t>Lease merchandise, net</t>
  </si>
  <si>
    <t>Loans receivable, gross</t>
  </si>
  <si>
    <t>Less: allowances &amp; unamortized fees</t>
  </si>
  <si>
    <t>Loans receivable, net</t>
  </si>
  <si>
    <t>Property, plant &amp; equipment at cost, gross</t>
  </si>
  <si>
    <t>Less: accumulated depreciation</t>
  </si>
  <si>
    <t>Property, plant &amp; equipment at cost, net</t>
  </si>
  <si>
    <t>Other intangibles, gross</t>
  </si>
  <si>
    <t>Other intangibles, net</t>
  </si>
  <si>
    <t>Income tax receivable</t>
  </si>
  <si>
    <t>Prepaid expenses</t>
  </si>
  <si>
    <t>Prepaid insurance</t>
  </si>
  <si>
    <t>Assets held for sale</t>
  </si>
  <si>
    <t>Deferred tax asset</t>
  </si>
  <si>
    <t>Prepaid expenses &amp; other assets</t>
  </si>
  <si>
    <t>Accrued insurance costs</t>
  </si>
  <si>
    <t>Accrued salaries &amp; benefits</t>
  </si>
  <si>
    <t>Accrued real estate &amp; sales tax</t>
  </si>
  <si>
    <t>Deferred rent</t>
  </si>
  <si>
    <t>Other accrued expenses &amp; liabilities</t>
  </si>
  <si>
    <t>Accounts payable &amp; accrued expenses</t>
  </si>
  <si>
    <t>Accrued regulatory expense</t>
  </si>
  <si>
    <t>Deferred income taxes payable</t>
  </si>
  <si>
    <t>Customer deposits &amp; advance payments</t>
  </si>
  <si>
    <t>Debt</t>
  </si>
  <si>
    <t>Common stock</t>
  </si>
  <si>
    <t>Foreign currency</t>
  </si>
  <si>
    <t>Accumulated other comprehensive income (loss)</t>
  </si>
  <si>
    <t>Shareholders' equity before treasury shares</t>
  </si>
  <si>
    <t>Less: treasury shares at cost common stock</t>
  </si>
  <si>
    <t>Total shareholders' equity</t>
  </si>
  <si>
    <t>Net earnings</t>
  </si>
  <si>
    <t>Other depreciation &amp; amortization</t>
  </si>
  <si>
    <t>Bad debt expense</t>
  </si>
  <si>
    <t>Accounts receivable provision</t>
  </si>
  <si>
    <t>Provision for credit losses on loans receivable</t>
  </si>
  <si>
    <t>Stock-based compensation</t>
  </si>
  <si>
    <t>Deferred income taxes</t>
  </si>
  <si>
    <t>Impairment of assets</t>
  </si>
  <si>
    <t>Impairment of goodwill &amp; other assets</t>
  </si>
  <si>
    <t>Non-cash lease expense</t>
  </si>
  <si>
    <t>Amortization of right of use assets</t>
  </si>
  <si>
    <t>Other changes, net</t>
  </si>
  <si>
    <t>Additions to lease merchandise</t>
  </si>
  <si>
    <t>Book value of lease merchandise sold or disposed</t>
  </si>
  <si>
    <t>Accounts receivable</t>
  </si>
  <si>
    <t>Investments in loans receivable</t>
  </si>
  <si>
    <t>Proceeds from loans receivable</t>
  </si>
  <si>
    <t>Proceeds from investments</t>
  </si>
  <si>
    <t>Outflows on purchases of property, plant &amp; equipment</t>
  </si>
  <si>
    <t>Proceeds from property, plant &amp; equipment</t>
  </si>
  <si>
    <t>Outflows on acquisitions of businesses &amp; customer agreements, net of cash acquired</t>
  </si>
  <si>
    <t>Outflows on acquisitions of businesses, net of cash acquired</t>
  </si>
  <si>
    <t>Proceeds from dispositions of businesses &amp; contracts</t>
  </si>
  <si>
    <t>Proceeds from dispositions of businesses</t>
  </si>
  <si>
    <t>Proceeds from dispositions of businesses &amp; customer agreements, net of cash disposed</t>
  </si>
  <si>
    <t>Repayments on revolving facility, net</t>
  </si>
  <si>
    <t>Borrowings (repayments) on revolving facility, net</t>
  </si>
  <si>
    <t>Proceeds from debt</t>
  </si>
  <si>
    <t>Repayments on debt</t>
  </si>
  <si>
    <t>Dividends paid</t>
  </si>
  <si>
    <t>Acquisition of treasury stock</t>
  </si>
  <si>
    <t>Excess tax benefits (deficiencies) from stock-based compensation</t>
  </si>
  <si>
    <t>Issuance of stock under stock option plans</t>
  </si>
  <si>
    <t>Shares withheld for tax payments</t>
  </si>
  <si>
    <t>Other financing activities</t>
  </si>
  <si>
    <t>Debt issuance costs</t>
  </si>
  <si>
    <t>Effect of exchange rate changes on cash &amp; cash equivalents</t>
  </si>
  <si>
    <t>Increase (decrease) in cash &amp; cash equivalents</t>
  </si>
  <si>
    <t>Cash &amp; cash equivalents at beginning of period</t>
  </si>
  <si>
    <t>Cash &amp; cash equivalents at end of period</t>
  </si>
  <si>
    <t>Cato Corp. (NYS: CATO)</t>
  </si>
  <si>
    <t>Choose to use Pre-COVID Trends for Relevent Drivers?</t>
  </si>
  <si>
    <t>Retail sales growth % YoY</t>
  </si>
  <si>
    <t>Other revenue (principally finance charges, late fees &amp; layaway charges) growth % YoY</t>
  </si>
  <si>
    <t>COGS as % of Sales</t>
  </si>
  <si>
    <t>Interest earned as % of average cash &amp; mkt sec</t>
  </si>
  <si>
    <t>Dividend payout ratio (percent of profit after tax)</t>
  </si>
  <si>
    <t>Current assets as % of sales</t>
  </si>
  <si>
    <t>Net fixed assets as % of sales</t>
  </si>
  <si>
    <t>Current liabilities as % of sales</t>
  </si>
  <si>
    <t>Other revenue (principally finance charges, late fees &amp; layaway charges)</t>
  </si>
  <si>
    <t>Cost of goods sold (exclusive of depreciation shown below)</t>
  </si>
  <si>
    <t>Selling, general &amp; administrative (exclusive of depreciation shown below)</t>
  </si>
  <si>
    <t>Interest &amp; other income</t>
  </si>
  <si>
    <t>Costs &amp; expenses, net</t>
  </si>
  <si>
    <t>Earnings (loss) allocated to non-vested equity awards</t>
  </si>
  <si>
    <t>Net earnings (loss) available to common stockholders</t>
  </si>
  <si>
    <t>Weighted average shares outstanding-basic</t>
  </si>
  <si>
    <t>Weighted average shares outstanding-diluted</t>
  </si>
  <si>
    <t>Net earnings (loss) per share-basic</t>
  </si>
  <si>
    <t>Net earnings (loss) per share-diluted</t>
  </si>
  <si>
    <t>Dividends per share</t>
  </si>
  <si>
    <t>Short-term investments</t>
  </si>
  <si>
    <t>Restricted cash &amp; investments</t>
  </si>
  <si>
    <t>Restricted short-term investments</t>
  </si>
  <si>
    <t>Merchandise inventories</t>
  </si>
  <si>
    <t>Prepaid expenses &amp; other current assets</t>
  </si>
  <si>
    <t>Total current assets</t>
  </si>
  <si>
    <t>Property &amp; equipment-net</t>
  </si>
  <si>
    <t>Noncurrent deferred income taxes</t>
  </si>
  <si>
    <t>Right-of-use assets-net</t>
  </si>
  <si>
    <t>Total current liabilities</t>
  </si>
  <si>
    <t>Other noncurrent liabilities</t>
  </si>
  <si>
    <t>Lease liability</t>
  </si>
  <si>
    <t>Class A common stock</t>
  </si>
  <si>
    <t>Convertible class B common stock</t>
  </si>
  <si>
    <t>Unrealized gains &amp; (losses) on available-for-sale securities</t>
  </si>
  <si>
    <t>Total stockholders' equity (deficit)</t>
  </si>
  <si>
    <t>Provision for doubtful accounts</t>
  </si>
  <si>
    <t>Purchase premium &amp; premium amortization of investments</t>
  </si>
  <si>
    <t>Share-based compensation</t>
  </si>
  <si>
    <t>Excess tax benefits from share-based compensation</t>
  </si>
  <si>
    <t>Loss (gain) on disposal &amp; write-offs of property &amp; equipment</t>
  </si>
  <si>
    <t>Loss (gain) on disposal of property &amp; equipment</t>
  </si>
  <si>
    <t>Impairment of store assets</t>
  </si>
  <si>
    <t>Impairment of leasehold</t>
  </si>
  <si>
    <t>Prepaid &amp; other assets</t>
  </si>
  <si>
    <t>Operating lease right-of-use asstes &amp; liabilities</t>
  </si>
  <si>
    <t>Accrued income taxes</t>
  </si>
  <si>
    <t>Accounts payable, accrued expenses &amp; other liabilities</t>
  </si>
  <si>
    <t>Expenditures for property &amp; equipment</t>
  </si>
  <si>
    <t>Purchase of short-term investments</t>
  </si>
  <si>
    <t>Sales of short-term investments</t>
  </si>
  <si>
    <t>Purchase of other assets</t>
  </si>
  <si>
    <t>Sales of other assets</t>
  </si>
  <si>
    <t>Change in restricted cash &amp; investments</t>
  </si>
  <si>
    <t>Repurchase of common stock</t>
  </si>
  <si>
    <t>Proceeds from line of credit</t>
  </si>
  <si>
    <t>Payments on line of credit</t>
  </si>
  <si>
    <t>Payments to line of credit</t>
  </si>
  <si>
    <t>Proceeds from employee stock purchase plan</t>
  </si>
  <si>
    <t>Proceeds from stock options exercised</t>
  </si>
  <si>
    <t>Effect of exchange rate on cash</t>
  </si>
  <si>
    <t>Cash, cash equivalents, &amp; restricted cash at beginning of period</t>
  </si>
  <si>
    <t>Cash, cash equivalents, &amp; restricted cash at end of period</t>
  </si>
  <si>
    <t>Net increase (decrease) in cash &amp; cash equivalents</t>
  </si>
  <si>
    <t>Group 1 Automotive, Inc. (NYS: GPI)</t>
  </si>
  <si>
    <t>PPE % of Sales</t>
  </si>
  <si>
    <t>LT liabilities Trend</t>
  </si>
  <si>
    <t>New vehicle retail sales</t>
  </si>
  <si>
    <t>Used vehicle retail sales</t>
  </si>
  <si>
    <t>Used vehicle wholesale sales</t>
  </si>
  <si>
    <t>Parts &amp; service sales</t>
  </si>
  <si>
    <t>Finance, insurance &amp; other revenues, net</t>
  </si>
  <si>
    <t>Cost of New vehicle retail sales</t>
  </si>
  <si>
    <t>Cost of Used vehicle retail sales</t>
  </si>
  <si>
    <t>Cost of Used vehicle wholesale sales</t>
  </si>
  <si>
    <t>Cost of Parts &amp; service sales</t>
  </si>
  <si>
    <t>Total cost of sales</t>
  </si>
  <si>
    <t>Gross profit (loss)</t>
  </si>
  <si>
    <t>Personnel expenses</t>
  </si>
  <si>
    <t>Advertising expenses</t>
  </si>
  <si>
    <t>Rent &amp; facility costs</t>
  </si>
  <si>
    <t>Other selling, general &amp; administrative expenses</t>
  </si>
  <si>
    <t>Selling, general &amp; administrative expenses</t>
  </si>
  <si>
    <t>Depreciation &amp; amortization expense</t>
  </si>
  <si>
    <t>Asset impairments</t>
  </si>
  <si>
    <t>Income (loss) from operations</t>
  </si>
  <si>
    <t>Floorplan interest expense</t>
  </si>
  <si>
    <t>Other interest expense, net</t>
  </si>
  <si>
    <t>Gain (loss) on extinguishment of debt</t>
  </si>
  <si>
    <t>Less: earnings allocated to participating securities</t>
  </si>
  <si>
    <t>Net income available to common shareholders</t>
  </si>
  <si>
    <t>Cash dividends per common share</t>
  </si>
  <si>
    <t>Contracts-in-transit &amp; vehicle receivables, net</t>
  </si>
  <si>
    <t>Amounts due from manufacturers</t>
  </si>
  <si>
    <t>Parts &amp; service receivables</t>
  </si>
  <si>
    <t>Finance &amp; insurance receivables</t>
  </si>
  <si>
    <t>Other receivables</t>
  </si>
  <si>
    <t>Total accounts &amp; notes receivable</t>
  </si>
  <si>
    <t>Less allowance for doubtful accounts</t>
  </si>
  <si>
    <t>Accounts &amp; notes receivable, net</t>
  </si>
  <si>
    <t>Accounts &amp; notes receivable, gross</t>
  </si>
  <si>
    <t>Less: allowance</t>
  </si>
  <si>
    <t>New vehicles</t>
  </si>
  <si>
    <t>Used vehicles</t>
  </si>
  <si>
    <t>Rental vehicles</t>
  </si>
  <si>
    <t>Parts, accessories &amp; other inventories</t>
  </si>
  <si>
    <t>Total inventories</t>
  </si>
  <si>
    <t>Less lower of cost or net realizable value allowance</t>
  </si>
  <si>
    <t>Inventories, net</t>
  </si>
  <si>
    <t>Other current assets</t>
  </si>
  <si>
    <t>Land</t>
  </si>
  <si>
    <t>Buildings</t>
  </si>
  <si>
    <t>Leasehold improvements</t>
  </si>
  <si>
    <t>Machinery &amp; equipment</t>
  </si>
  <si>
    <t>Furniture &amp; fixtures</t>
  </si>
  <si>
    <t>Company vehicles</t>
  </si>
  <si>
    <t>Construction in progress</t>
  </si>
  <si>
    <t>Total property &amp; equipment</t>
  </si>
  <si>
    <t>Less accumulated depreciation</t>
  </si>
  <si>
    <t>Less accumulated depreciation &amp; amortization</t>
  </si>
  <si>
    <t>Property &amp; equipment, net</t>
  </si>
  <si>
    <t>Operating lease assets</t>
  </si>
  <si>
    <t>Intangible franchise rights</t>
  </si>
  <si>
    <t>Other long-term assets</t>
  </si>
  <si>
    <t>Total Long-Term Assets</t>
  </si>
  <si>
    <t>Floorplan notes payable-credit facility &amp; other, net</t>
  </si>
  <si>
    <t>Offset account related to floorplan notes payable-credit facility</t>
  </si>
  <si>
    <t>Floorplan notes payable-manufacturer affiliates, net</t>
  </si>
  <si>
    <t>Offset account related to floorplan notes payable-manufacturer affiliates</t>
  </si>
  <si>
    <t>Current maturities of long-term debt</t>
  </si>
  <si>
    <t>Current maturities of long-term debt &amp; short-term financing</t>
  </si>
  <si>
    <t>Current operating lease liabilities</t>
  </si>
  <si>
    <t>Current liabilities from interest rate risk management activities</t>
  </si>
  <si>
    <t>Accrued expenses</t>
  </si>
  <si>
    <t>Accrued expenses &amp; other current liabilities</t>
  </si>
  <si>
    <t>Acquisition line</t>
  </si>
  <si>
    <t>Real estate related debt</t>
  </si>
  <si>
    <t>Real estate related &amp; other long-term debt</t>
  </si>
  <si>
    <t>Capital lease obligations related to real estate</t>
  </si>
  <si>
    <t>Finance leases</t>
  </si>
  <si>
    <t>Finance leases related to real estate</t>
  </si>
  <si>
    <t>Other long-term debt</t>
  </si>
  <si>
    <t>Total debt</t>
  </si>
  <si>
    <t>Less: unamortized discount on notes</t>
  </si>
  <si>
    <t>Less: unamortized debt issuance costs</t>
  </si>
  <si>
    <t>Less current maturities of long-term debt</t>
  </si>
  <si>
    <t>Less: current maturities of long-term debt &amp; short-term financing</t>
  </si>
  <si>
    <t>Long-term debt</t>
  </si>
  <si>
    <t>Long-term operating lease liabilities</t>
  </si>
  <si>
    <t>Long-term interest rate swap liabilities</t>
  </si>
  <si>
    <t>Other long-term liabilities</t>
  </si>
  <si>
    <t>Total Long-Term Liabilities</t>
  </si>
  <si>
    <t>Total Liabilities</t>
  </si>
  <si>
    <t>Treasury stock</t>
  </si>
  <si>
    <t>Depreciation &amp; amortization</t>
  </si>
  <si>
    <t>Operating lease amortization</t>
  </si>
  <si>
    <t>Amortization of debt discount &amp; issue costs</t>
  </si>
  <si>
    <t>Loss (gain) for on extinguishment of debt</t>
  </si>
  <si>
    <t>Loss (gain) on disposition of assets</t>
  </si>
  <si>
    <t>Tax effect from stock-based compensation</t>
  </si>
  <si>
    <t>Other adjustments</t>
  </si>
  <si>
    <t>Accounts &amp; notes receivable</t>
  </si>
  <si>
    <t>Inventories</t>
  </si>
  <si>
    <t>Contracts-in-transit &amp; vehicle receivables</t>
  </si>
  <si>
    <t>Floorplan notes payable-manufacturer affiliates</t>
  </si>
  <si>
    <t>Deferred revenues</t>
  </si>
  <si>
    <t>Cash paid in acquisitions, net of cash received</t>
  </si>
  <si>
    <t>Proceeds from disposition of franchises, property &amp; equipment</t>
  </si>
  <si>
    <t>Purchases of property &amp; equipment</t>
  </si>
  <si>
    <t>Purchases of property &amp; equipment, including real estate</t>
  </si>
  <si>
    <t>Deposits for real estate &amp; dealership acquisitions</t>
  </si>
  <si>
    <t>Other investing activities</t>
  </si>
  <si>
    <t>Borrowings on credit facility-floorplan line &amp; other borrowings on credit facility</t>
  </si>
  <si>
    <t>Repayments on credit facility-floorplan line &amp; other repayments on credit facility</t>
  </si>
  <si>
    <t>Borrowings on credit facility-acquisition line</t>
  </si>
  <si>
    <t>Repayments on credit facility-acquisition line</t>
  </si>
  <si>
    <t>Repayments of senior notes</t>
  </si>
  <si>
    <t>Borrowings on other debt</t>
  </si>
  <si>
    <t>Principal payments on other debt</t>
  </si>
  <si>
    <t>Borrowings on debt related to real estate, net of debt issue costs</t>
  </si>
  <si>
    <t>Borrowings on debt related to real estate</t>
  </si>
  <si>
    <t>Principal payments on debt related to real estate</t>
  </si>
  <si>
    <t>Payment of tax withholding for stock-based awards</t>
  </si>
  <si>
    <t>Employee stock purchase plan purchases, net of employee tax withholdings</t>
  </si>
  <si>
    <t>Proceeds from termination of mortgage swap</t>
  </si>
  <si>
    <t>Repurchases of common stock, amounts based on settlement date</t>
  </si>
  <si>
    <t>Effect of exchange rate changes on cash</t>
  </si>
  <si>
    <t>Cash &amp; cash equivalents, beginning of period</t>
  </si>
  <si>
    <t>Cash, cash equivalents &amp; restricted cash, beginning of period</t>
  </si>
  <si>
    <t>Cash &amp; cash equivalents, end of period</t>
  </si>
  <si>
    <t>Cash, cash equivalents &amp; restricted cash, end of period</t>
  </si>
  <si>
    <t>Cash paid for interest</t>
  </si>
  <si>
    <t>Cash paid for income taxes, net of received (refunds)</t>
  </si>
  <si>
    <t>G-III Apparel Group Ltd. (NMS: GIII)</t>
  </si>
  <si>
    <t>Sales growth % YoY</t>
  </si>
  <si>
    <t>Net sales</t>
  </si>
  <si>
    <t>Cost of goods sold</t>
  </si>
  <si>
    <t>Asset impairments, net of gain on lease modifications</t>
  </si>
  <si>
    <t>Gain on lease terminations</t>
  </si>
  <si>
    <t>Equity income (loss) in joint venture</t>
  </si>
  <si>
    <t>Equity income (loss) in unconsolidated affiliates</t>
  </si>
  <si>
    <t>Other loss</t>
  </si>
  <si>
    <t>Other income (loss)</t>
  </si>
  <si>
    <t>Interest &amp; financing charges, net</t>
  </si>
  <si>
    <t>Net income (loss) attributable to G-III Apparel Group, Ltd.</t>
  </si>
  <si>
    <t>Weighted average shares outstanding0diluted</t>
  </si>
  <si>
    <t>Allowances for doubtful accounts &amp; sales discounts</t>
  </si>
  <si>
    <t>Finished goods</t>
  </si>
  <si>
    <t>Raw materials &amp; work-in-process</t>
  </si>
  <si>
    <t>Prepaid income taxes</t>
  </si>
  <si>
    <t>Deferred income taxes, net</t>
  </si>
  <si>
    <t>Investments in unconsolidated affiliates</t>
  </si>
  <si>
    <t>Equity method investment</t>
  </si>
  <si>
    <t>Other assets, net</t>
  </si>
  <si>
    <t>Deferred income tax assets, net</t>
  </si>
  <si>
    <t>Trademarks</t>
  </si>
  <si>
    <t>Notes payable</t>
  </si>
  <si>
    <t>Income tax payable</t>
  </si>
  <si>
    <t>Customer refund liabilities</t>
  </si>
  <si>
    <t>Current portion of notes payable</t>
  </si>
  <si>
    <t>Other current liabilities</t>
  </si>
  <si>
    <t>Term loan</t>
  </si>
  <si>
    <t>New revolving credit facility</t>
  </si>
  <si>
    <t>Revolving credit facility</t>
  </si>
  <si>
    <t>Note issued to LVMH</t>
  </si>
  <si>
    <t>Unsecured loan</t>
  </si>
  <si>
    <t>Overdraft facilities</t>
  </si>
  <si>
    <t>Total long term debt</t>
  </si>
  <si>
    <t>Less: net debt issuance costs &amp; debt discount</t>
  </si>
  <si>
    <t>Less: net debt issuance costs</t>
  </si>
  <si>
    <t>Less: debt discount</t>
  </si>
  <si>
    <t>Less: current portion of long-term debt</t>
  </si>
  <si>
    <t>Notes payable, net of note discount and unamortized issuance costs</t>
  </si>
  <si>
    <t>Deferred income taxes liabilities, net</t>
  </si>
  <si>
    <t>Noncurrent operating lease liabilities</t>
  </si>
  <si>
    <t>Other non-current liabilities</t>
  </si>
  <si>
    <t>Common stock held in treasury, at cost</t>
  </si>
  <si>
    <t>Total G-III stockholders' equity (deficit)</t>
  </si>
  <si>
    <t>Loss on disposal of fixed assets</t>
  </si>
  <si>
    <t>Non-cash operating lease costs</t>
  </si>
  <si>
    <t>Loss (gain) on lease terminations</t>
  </si>
  <si>
    <t>Dividend received from unconsolidated affiliate</t>
  </si>
  <si>
    <t>Dividend received from equity investment</t>
  </si>
  <si>
    <t>Equity loss (income) in unconsolidated affiliates</t>
  </si>
  <si>
    <t>Equity income in joint venture</t>
  </si>
  <si>
    <t>Deferred financing charges &amp; debt discount amortization</t>
  </si>
  <si>
    <t>Income taxes, net</t>
  </si>
  <si>
    <t>Investment in unconsolidated affiliate</t>
  </si>
  <si>
    <t>Operating lease assets initial direct costs</t>
  </si>
  <si>
    <t>Capital expenditures</t>
  </si>
  <si>
    <t>Proceeds from notes payable, net</t>
  </si>
  <si>
    <t>Proceeds from exercise of equity awards</t>
  </si>
  <si>
    <t>Purchase of treasury shares</t>
  </si>
  <si>
    <t>Taxes paid for net share settlements</t>
  </si>
  <si>
    <t>Foreign currency translation adjustments</t>
  </si>
  <si>
    <t>Cash payments: interest, net</t>
  </si>
  <si>
    <t>Cash payments: income tax payments (refund), net</t>
  </si>
  <si>
    <t>Genesco Inc. (NYS: GCO)</t>
  </si>
  <si>
    <t>Cost of sales</t>
  </si>
  <si>
    <t>Gross margin</t>
  </si>
  <si>
    <t>Selling &amp; administrative expenses</t>
  </si>
  <si>
    <t>Goodwill impairment</t>
  </si>
  <si>
    <t>Asset impairments &amp; other, net</t>
  </si>
  <si>
    <t>Operating income (loss)</t>
  </si>
  <si>
    <t>Other components of net periodic benefit cost</t>
  </si>
  <si>
    <t>Interest income (loss)</t>
  </si>
  <si>
    <t>Total interest income (expense), net</t>
  </si>
  <si>
    <t>Earnings (loss) from continuing operations before income taxes</t>
  </si>
  <si>
    <t>Income tax expense</t>
  </si>
  <si>
    <t>Earnings (loss) from continuing operations</t>
  </si>
  <si>
    <t>Earnings (loss) from discontinued operations, net of tax</t>
  </si>
  <si>
    <t>Allowances</t>
  </si>
  <si>
    <t>Raw materials</t>
  </si>
  <si>
    <t>Wholesale finished goods</t>
  </si>
  <si>
    <t>Retail merchandise</t>
  </si>
  <si>
    <t>Prepaids &amp; other current assets</t>
  </si>
  <si>
    <t>Buildings &amp; building equipment</t>
  </si>
  <si>
    <t>Computer hardware, software &amp; equipment</t>
  </si>
  <si>
    <t>Improvements to leased property</t>
  </si>
  <si>
    <t>Property &amp; equipment, at cost</t>
  </si>
  <si>
    <t>Accumulated depreciation</t>
  </si>
  <si>
    <t>Operating lease right of use asset</t>
  </si>
  <si>
    <t>Trademarks, gross</t>
  </si>
  <si>
    <t>Trademarks, net</t>
  </si>
  <si>
    <t>Other noncurrent assets</t>
  </si>
  <si>
    <t>Accrued employee compensation</t>
  </si>
  <si>
    <t>Accrued other taxes</t>
  </si>
  <si>
    <t>Other accrued liabilities</t>
  </si>
  <si>
    <t>Provision for discontinued operations</t>
  </si>
  <si>
    <t>US revolver borrowings</t>
  </si>
  <si>
    <t>UK revolver borrowings</t>
  </si>
  <si>
    <t>Total long-term debt</t>
  </si>
  <si>
    <t>Current portion</t>
  </si>
  <si>
    <t>Long-term operating lease liability</t>
  </si>
  <si>
    <t>Pension liability</t>
  </si>
  <si>
    <t>Deferred rent &amp; other long-term liabilities</t>
  </si>
  <si>
    <t>Non-redeemable preferred stock</t>
  </si>
  <si>
    <t>Foreign currency translation</t>
  </si>
  <si>
    <t>Unrecognized pension/porstretirement benefit costs</t>
  </si>
  <si>
    <t>Total Genesco Inc. equity (deficit)</t>
  </si>
  <si>
    <t>Total equity (deficit)</t>
  </si>
  <si>
    <t>Amortization of deferred note expense &amp; debt discount</t>
  </si>
  <si>
    <t>Provision (recoveries) on accounts receivable</t>
  </si>
  <si>
    <t>Loss (gain) on sale of business</t>
  </si>
  <si>
    <t>Impairment of intangible assets</t>
  </si>
  <si>
    <t>Impairment of long-lived assets</t>
  </si>
  <si>
    <t>Restricted stock expense</t>
  </si>
  <si>
    <t>Tax (benefit) expense of stock options exercised</t>
  </si>
  <si>
    <t>Tax (benefit) expense of stock options &amp; restricted stock</t>
  </si>
  <si>
    <t>Other assets &amp; liabilities</t>
  </si>
  <si>
    <t>Acquisitions, net of cash acquired</t>
  </si>
  <si>
    <t>Proceeds from asset sales</t>
  </si>
  <si>
    <t>Proceeds from sale of business &amp; asset sales</t>
  </si>
  <si>
    <t>Proceeds from (payments related to) asset sales &amp; sale of business</t>
  </si>
  <si>
    <t>Payments of long-term debt</t>
  </si>
  <si>
    <t>Borrowings under revolving credit facility</t>
  </si>
  <si>
    <t>Payments on revolving credit facility</t>
  </si>
  <si>
    <t>Tax benefit of stock options &amp; restricted stock</t>
  </si>
  <si>
    <t>Share repurchases related to share repurchase program</t>
  </si>
  <si>
    <t>Restricted shares withheld for taxes</t>
  </si>
  <si>
    <t>Change in overdraft balances</t>
  </si>
  <si>
    <t>Additions to deferred note cost</t>
  </si>
  <si>
    <t>Exercise of stock options</t>
  </si>
  <si>
    <t>Other cash flows from financing activities</t>
  </si>
  <si>
    <t>Effect of foreign exchange rate fluctuations on cash</t>
  </si>
  <si>
    <t>Net cash paid for interest</t>
  </si>
  <si>
    <t>Net cash paid for income taxes</t>
  </si>
  <si>
    <t>RCI Hospitality Holdings Inc (NMS: RICK)</t>
  </si>
  <si>
    <t>Sales of alcoholic beverages</t>
  </si>
  <si>
    <t>Sales of food &amp; merchandise</t>
  </si>
  <si>
    <t>Service revenues</t>
  </si>
  <si>
    <t>Alcoholic beverages sold</t>
  </si>
  <si>
    <t>Food &amp; merchandise sold</t>
  </si>
  <si>
    <t>Service &amp; other cost of goods sold</t>
  </si>
  <si>
    <t>Total cost of goods sold</t>
  </si>
  <si>
    <t>Salaries &amp; wages expense</t>
  </si>
  <si>
    <t>Taxes &amp; permits expenses</t>
  </si>
  <si>
    <t>Advertising &amp; marketing expenses</t>
  </si>
  <si>
    <t>Supplies &amp; services expenses</t>
  </si>
  <si>
    <t>Insurance expenses</t>
  </si>
  <si>
    <t>Accounting &amp; professional fees</t>
  </si>
  <si>
    <t>Lease expenses</t>
  </si>
  <si>
    <t>Charge card fees</t>
  </si>
  <si>
    <t>Legal fees</t>
  </si>
  <si>
    <t>Utilities expenses</t>
  </si>
  <si>
    <t>Security expenses</t>
  </si>
  <si>
    <t>Repairs &amp; maintenance expenses</t>
  </si>
  <si>
    <t>Other selling, general &amp; administrative expense</t>
  </si>
  <si>
    <t>Stock compensation expense</t>
  </si>
  <si>
    <t>Rent expenses</t>
  </si>
  <si>
    <t>Legal &amp; professional expenses</t>
  </si>
  <si>
    <t>Gain on sale of property &amp; marketable securities</t>
  </si>
  <si>
    <t>Gain (loss) on sale of property</t>
  </si>
  <si>
    <t>Settlement of lawsuits &amp; other one-time costs</t>
  </si>
  <si>
    <t>Other general &amp; administrative expenses</t>
  </si>
  <si>
    <t>Other charges (gains), net</t>
  </si>
  <si>
    <t>Total operating expenses</t>
  </si>
  <si>
    <t>Interest income &amp; other income (expense)</t>
  </si>
  <si>
    <t>Non-operating gains (losses), net</t>
  </si>
  <si>
    <t>Unrealized gain (loss) on equity securities</t>
  </si>
  <si>
    <t>Net income (loss) attributable to noncontrolling interests</t>
  </si>
  <si>
    <t>Net income (loss) attributable to RCI Hospitality Holdings, Inc. common stockholders</t>
  </si>
  <si>
    <t>Earnings (loss) per share0basic</t>
  </si>
  <si>
    <t>Earnings (loss) per share0diluted</t>
  </si>
  <si>
    <t>Current portion of notes receivable</t>
  </si>
  <si>
    <t>Other accounts receivable, net</t>
  </si>
  <si>
    <t>Marketable securities</t>
  </si>
  <si>
    <t>Notes receivable, net of current portion</t>
  </si>
  <si>
    <t>Intangibles, net</t>
  </si>
  <si>
    <t>Indefinite lived intangibles, net</t>
  </si>
  <si>
    <t>Definite lived intangibles, net</t>
  </si>
  <si>
    <t>Total other assets</t>
  </si>
  <si>
    <t>Accrued insurance</t>
  </si>
  <si>
    <t>Accrued sales &amp; liquor taxes</t>
  </si>
  <si>
    <t>Accrued payroll &amp; related costs</t>
  </si>
  <si>
    <t>Accrued property taxes</t>
  </si>
  <si>
    <t>Accrued interest</t>
  </si>
  <si>
    <t>Accrued patron tax</t>
  </si>
  <si>
    <t>Unearned revenues</t>
  </si>
  <si>
    <t>Accrued lawsuit settlements</t>
  </si>
  <si>
    <t>Accrued liabilities</t>
  </si>
  <si>
    <t>Texas patron tax liability</t>
  </si>
  <si>
    <t>Current portion of long-term debt, net</t>
  </si>
  <si>
    <t>Current portion of operating lease liabilities</t>
  </si>
  <si>
    <t>Deferred tax liability, net</t>
  </si>
  <si>
    <t>Non-interest-bearing debt to State of Texas</t>
  </si>
  <si>
    <t>Less: current portion</t>
  </si>
  <si>
    <t>Long-term debt, net of current portion &amp; debt discount &amp; issuance costs</t>
  </si>
  <si>
    <t>Operating lease liabilities, net of current portion</t>
  </si>
  <si>
    <t>Total RCI Hospitality Holdings, Inc. stockholders' equity (deficit)</t>
  </si>
  <si>
    <t>Noncontrolling interests</t>
  </si>
  <si>
    <t>Total equity</t>
  </si>
  <si>
    <t>Loss (gain) on disposal of assets</t>
  </si>
  <si>
    <t>Loss (gain) on sale of businesses &amp; assets</t>
  </si>
  <si>
    <t>Unrealized loss (gain) on equity securities</t>
  </si>
  <si>
    <t>Amortization of debt discount &amp; issuance costs</t>
  </si>
  <si>
    <t>Noncash lease expense</t>
  </si>
  <si>
    <t>Loss (gain) on insurance</t>
  </si>
  <si>
    <t>Doubtful accounts expense on notes receivable</t>
  </si>
  <si>
    <t>Debt prepayment penalty</t>
  </si>
  <si>
    <t>Loss (gain) on sale of marketable securities &amp; from acquisition of controlling interest in subsidiary</t>
  </si>
  <si>
    <t>Net loss (gain) on sale of property &amp; other</t>
  </si>
  <si>
    <t>Amortization of note discount</t>
  </si>
  <si>
    <t>Amortization of note discount &amp; beneficial conversion</t>
  </si>
  <si>
    <t>Beneficial conversion</t>
  </si>
  <si>
    <t>Gain from sale of marketable securities &amp; acquisition of controlling interest in subsidiary</t>
  </si>
  <si>
    <t>Prepaid insurance &amp; other current assets &amp; other assets</t>
  </si>
  <si>
    <t>Accounts payable, accrued &amp; other liabilities</t>
  </si>
  <si>
    <t>Proceeds from sale of businesses &amp; assets</t>
  </si>
  <si>
    <t>Proceeds from insurance</t>
  </si>
  <si>
    <t>Proceeds from notes receivable</t>
  </si>
  <si>
    <t>Issuance of note receivable</t>
  </si>
  <si>
    <t>Additions to property &amp; equipment</t>
  </si>
  <si>
    <t>Acquisition of businesses, net of cash acquired</t>
  </si>
  <si>
    <t>Proceeds from sale of property</t>
  </si>
  <si>
    <t>Proceeds from sale of marketable securities</t>
  </si>
  <si>
    <t>Proceeds from debt obligations</t>
  </si>
  <si>
    <t>Payments on debt obligations</t>
  </si>
  <si>
    <t>Purchase of treasury stock</t>
  </si>
  <si>
    <t>Payment of dividends</t>
  </si>
  <si>
    <t>Payment of loan origination costs</t>
  </si>
  <si>
    <t xml:space="preserve">Distribution to minority interests </t>
  </si>
  <si>
    <t>Distribution to noncontrolling interests</t>
  </si>
  <si>
    <t>Cash paid during period for interest, net of amounts capitalized</t>
  </si>
  <si>
    <t>Cash paid (received) during period for income taxes</t>
  </si>
  <si>
    <t>Earnings (loss) per share-continuing operations-basic</t>
  </si>
  <si>
    <t>Earnings (loss) per share-discontinued operations-basic</t>
  </si>
  <si>
    <t>Earnings (loss) per share-continuing operations-diluted</t>
  </si>
  <si>
    <t>Earnings (loss) per share-discontinued operations-diluted</t>
  </si>
  <si>
    <t>Accumulated amortization-trademarks</t>
  </si>
  <si>
    <t>Accumulated amortization-other intangibles</t>
  </si>
  <si>
    <t>Current portion-long-term debt</t>
  </si>
  <si>
    <t>Current portion-operating lease liability</t>
  </si>
  <si>
    <t>Noncontrolling interest-non-redeemable</t>
  </si>
  <si>
    <t>Net income (loss) per share-basic</t>
  </si>
  <si>
    <t>Net income (loss) per share-diluted</t>
  </si>
  <si>
    <t>Repayment of borrowings-revolving facility</t>
  </si>
  <si>
    <t>Proceeds from borrowing-revolving facility</t>
  </si>
  <si>
    <t>Repayment of borrowings-unsecured term loan</t>
  </si>
  <si>
    <t>Proceeds from borrowings-unsecured term loan</t>
  </si>
  <si>
    <t>Convertible senior subordinated notes due 2-17 - net</t>
  </si>
  <si>
    <t>Convertible senior subordinated notes due 2-18 - net</t>
  </si>
  <si>
    <t>Senior notes due 2-21 - net</t>
  </si>
  <si>
    <t>Senior notes due 2-25 - net</t>
  </si>
  <si>
    <t>Senior notes due 2-28 - net</t>
  </si>
  <si>
    <t>Repayments of senior notes due 2-21</t>
  </si>
  <si>
    <t>Repayment of convertible senior subordinated notes due 2-18</t>
  </si>
  <si>
    <t>Weighted average shares outstanding-assuming dilution</t>
  </si>
  <si>
    <t>Net earnings (loss) per share-assuming dilution</t>
  </si>
  <si>
    <t>Less: accumulated amortization-other intangibles</t>
  </si>
  <si>
    <t>SG&amp;A as % of Sales</t>
  </si>
  <si>
    <t>Correlation</t>
  </si>
  <si>
    <t>C * X^2</t>
  </si>
  <si>
    <t>b (constant)</t>
  </si>
  <si>
    <t>2nd Order Poly Est.</t>
  </si>
  <si>
    <t>Interest expense as % of average debt</t>
  </si>
  <si>
    <t>Assume Post-Covid Debt Increase is Constant?</t>
  </si>
  <si>
    <t>Top 4 Stocks (Excluding MHO and AAR)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</si>
</sst>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(* #,##0.00_);[Red]_(* \(#,##0.00\);_(* &quot;-&quot;_);_(@_)"/>
    <numFmt numFmtId="165" formatCode="_(* #,##0.0000000000_);[Red]_(* \(#,##0.0000000000\);_(* &quot;-&quot;_);_(@_)"/>
    <numFmt numFmtId="166" formatCode="_(* #,##0_);_(* \(#,##0\);_(* &quot;-&quot;??_);_(@_)"/>
    <numFmt numFmtId="167" formatCode="[$-409]mmm\-yy;@"/>
    <numFmt numFmtId="168" formatCode="0.0%"/>
    <numFmt numFmtId="169" formatCode="0.000%"/>
    <numFmt numFmtId="170" formatCode="0.00000%"/>
    <numFmt numFmtId="171" formatCode="_(* #,##0_);[Red]_(* \(#,##0\);_(* &quot;-&quot;_);_(@_)"/>
    <numFmt numFmtId="172" formatCode="0.0000%"/>
    <numFmt numFmtId="173" formatCode="_(* #,##0.0000_);_(* \(#,##0.0000\);_(* &quot;-&quot;??_);_(@_)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theme="1" tint="0.14999847407452621"/>
      <name val="Arial"/>
      <family val="2"/>
    </font>
    <font>
      <sz val="18"/>
      <color rgb="FF000000"/>
      <name val="Arial"/>
      <family val="2"/>
    </font>
    <font>
      <sz val="18"/>
      <color theme="2" tint="-0.749992370372631"/>
      <name val="Arial"/>
      <family val="2"/>
    </font>
    <font>
      <b/>
      <sz val="10"/>
      <color theme="1" tint="0.14999847407452621"/>
      <name val="Arial"/>
      <family val="2"/>
    </font>
    <font>
      <sz val="10"/>
      <color theme="1" tint="0.14999847407452621"/>
      <name val="Calibri"/>
      <family val="2"/>
      <scheme val="minor"/>
    </font>
    <font>
      <b/>
      <i/>
      <sz val="10"/>
      <color indexed="9"/>
      <name val="Arial"/>
      <family val="2"/>
    </font>
    <font>
      <i/>
      <sz val="11"/>
      <color theme="2" tint="-0.24997711111789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C00000"/>
      <name val="Arial"/>
      <family val="2"/>
    </font>
    <font>
      <i/>
      <sz val="10"/>
      <color rgb="FFC00000"/>
      <name val="Arial"/>
      <family val="2"/>
    </font>
    <font>
      <i/>
      <sz val="10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rgb="FFC00000"/>
      <name val="Arial"/>
      <family val="2"/>
    </font>
    <font>
      <i/>
      <sz val="11"/>
      <color rgb="FFC00000"/>
      <name val="Calibri"/>
      <family val="2"/>
      <scheme val="minor"/>
    </font>
    <font>
      <b/>
      <sz val="10"/>
      <color theme="1" tint="0.1499984740745262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/>
      <top style="thin">
        <color theme="4" tint="0.39991454817346722"/>
      </top>
      <bottom style="thin">
        <color theme="4" tint="0.39988402966399123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/>
      <bottom style="thin">
        <color theme="4" tint="0.39988402966399123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2" tint="-0.24994659260841701"/>
      </top>
      <bottom/>
      <diagonal/>
    </border>
    <border>
      <left/>
      <right/>
      <top/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6">
    <xf numFmtId="0" fontId="0" fillId="0" borderId="0" xfId="0"/>
    <xf numFmtId="22" fontId="0" fillId="0" borderId="0" xfId="0" applyNumberFormat="1"/>
    <xf numFmtId="0" fontId="18" fillId="33" borderId="11" xfId="0" applyFont="1" applyFill="1" applyBorder="1" applyAlignment="1">
      <alignment horizontal="center" wrapText="1"/>
    </xf>
    <xf numFmtId="0" fontId="0" fillId="0" borderId="0" xfId="0" applyBorder="1"/>
    <xf numFmtId="0" fontId="13" fillId="36" borderId="0" xfId="0" applyFont="1" applyFill="1" applyAlignment="1">
      <alignment horizontal="centerContinuous" wrapText="1"/>
    </xf>
    <xf numFmtId="0" fontId="19" fillId="0" borderId="0" xfId="0" applyFont="1"/>
    <xf numFmtId="0" fontId="19" fillId="0" borderId="10" xfId="0" applyFont="1" applyBorder="1"/>
    <xf numFmtId="0" fontId="0" fillId="0" borderId="13" xfId="0" applyBorder="1"/>
    <xf numFmtId="0" fontId="0" fillId="0" borderId="12" xfId="0" applyBorder="1"/>
    <xf numFmtId="0" fontId="20" fillId="0" borderId="0" xfId="0" applyFont="1"/>
    <xf numFmtId="164" fontId="10" fillId="6" borderId="5" xfId="10" applyNumberFormat="1"/>
    <xf numFmtId="165" fontId="10" fillId="6" borderId="5" xfId="10" applyNumberFormat="1"/>
    <xf numFmtId="0" fontId="10" fillId="6" borderId="5" xfId="10"/>
    <xf numFmtId="22" fontId="0" fillId="0" borderId="12" xfId="0" applyNumberFormat="1" applyBorder="1"/>
    <xf numFmtId="22" fontId="0" fillId="34" borderId="12" xfId="0" applyNumberFormat="1" applyFill="1" applyBorder="1"/>
    <xf numFmtId="0" fontId="0" fillId="34" borderId="12" xfId="0" applyFill="1" applyBorder="1"/>
    <xf numFmtId="22" fontId="0" fillId="35" borderId="12" xfId="0" applyNumberFormat="1" applyFill="1" applyBorder="1"/>
    <xf numFmtId="0" fontId="0" fillId="35" borderId="12" xfId="0" applyFill="1" applyBorder="1"/>
    <xf numFmtId="11" fontId="0" fillId="0" borderId="12" xfId="0" applyNumberFormat="1" applyBorder="1"/>
    <xf numFmtId="11" fontId="0" fillId="34" borderId="12" xfId="0" applyNumberFormat="1" applyFill="1" applyBorder="1"/>
    <xf numFmtId="0" fontId="0" fillId="0" borderId="12" xfId="0" applyFill="1" applyBorder="1"/>
    <xf numFmtId="11" fontId="0" fillId="35" borderId="12" xfId="0" applyNumberFormat="1" applyFill="1" applyBorder="1"/>
    <xf numFmtId="0" fontId="16" fillId="0" borderId="0" xfId="0" applyFont="1" applyAlignment="1">
      <alignment horizontal="right"/>
    </xf>
    <xf numFmtId="0" fontId="16" fillId="0" borderId="0" xfId="0" applyFont="1" applyBorder="1" applyAlignment="1">
      <alignment horizontal="right"/>
    </xf>
    <xf numFmtId="0" fontId="21" fillId="0" borderId="0" xfId="42"/>
    <xf numFmtId="0" fontId="16" fillId="0" borderId="0" xfId="0" applyFont="1"/>
    <xf numFmtId="0" fontId="16" fillId="0" borderId="14" xfId="0" applyFont="1" applyBorder="1"/>
    <xf numFmtId="0" fontId="26" fillId="0" borderId="0" xfId="0" applyFont="1"/>
    <xf numFmtId="0" fontId="26" fillId="0" borderId="14" xfId="0" applyFont="1" applyBorder="1"/>
    <xf numFmtId="0" fontId="0" fillId="0" borderId="0" xfId="0" applyFont="1"/>
    <xf numFmtId="0" fontId="21" fillId="0" borderId="0" xfId="42" applyAlignment="1">
      <alignment horizontal="left" indent="1"/>
    </xf>
    <xf numFmtId="43" fontId="21" fillId="0" borderId="0" xfId="43" applyFont="1"/>
    <xf numFmtId="166" fontId="21" fillId="0" borderId="0" xfId="43" applyNumberFormat="1" applyFont="1"/>
    <xf numFmtId="166" fontId="16" fillId="0" borderId="14" xfId="43" applyNumberFormat="1" applyFont="1" applyBorder="1"/>
    <xf numFmtId="166" fontId="21" fillId="0" borderId="0" xfId="43" applyNumberFormat="1" applyFont="1" applyAlignment="1">
      <alignment horizontal="right"/>
    </xf>
    <xf numFmtId="166" fontId="26" fillId="0" borderId="14" xfId="43" applyNumberFormat="1" applyFont="1" applyBorder="1"/>
    <xf numFmtId="0" fontId="28" fillId="0" borderId="0" xfId="42" applyFont="1"/>
    <xf numFmtId="0" fontId="29" fillId="0" borderId="15" xfId="42" applyFont="1" applyBorder="1" applyAlignment="1">
      <alignment horizontal="left"/>
    </xf>
    <xf numFmtId="166" fontId="29" fillId="0" borderId="15" xfId="43" applyNumberFormat="1" applyFont="1" applyBorder="1"/>
    <xf numFmtId="0" fontId="22" fillId="0" borderId="0" xfId="42" applyFont="1"/>
    <xf numFmtId="0" fontId="24" fillId="36" borderId="0" xfId="42" applyFont="1" applyFill="1" applyAlignment="1">
      <alignment horizontal="centerContinuous" vertical="center" wrapText="1"/>
    </xf>
    <xf numFmtId="0" fontId="0" fillId="0" borderId="0" xfId="0" applyAlignment="1">
      <alignment vertical="center"/>
    </xf>
    <xf numFmtId="166" fontId="24" fillId="36" borderId="0" xfId="43" applyNumberFormat="1" applyFont="1" applyFill="1" applyAlignment="1">
      <alignment horizontal="centerContinuous" vertical="center" wrapText="1"/>
    </xf>
    <xf numFmtId="0" fontId="21" fillId="0" borderId="0" xfId="42" applyAlignment="1">
      <alignment vertical="center"/>
    </xf>
    <xf numFmtId="0" fontId="30" fillId="33" borderId="0" xfId="42" applyFont="1" applyFill="1" applyBorder="1" applyAlignment="1">
      <alignment horizontal="center" vertical="center" wrapText="1"/>
    </xf>
    <xf numFmtId="0" fontId="31" fillId="0" borderId="0" xfId="0" applyFont="1" applyAlignment="1">
      <alignment vertical="center"/>
    </xf>
    <xf numFmtId="167" fontId="30" fillId="33" borderId="0" xfId="43" applyNumberFormat="1" applyFont="1" applyFill="1" applyBorder="1" applyAlignment="1">
      <alignment horizontal="center" vertical="center" wrapText="1"/>
    </xf>
    <xf numFmtId="166" fontId="30" fillId="33" borderId="0" xfId="43" applyNumberFormat="1" applyFont="1" applyFill="1" applyBorder="1" applyAlignment="1">
      <alignment horizontal="center" vertical="center" wrapText="1"/>
    </xf>
    <xf numFmtId="0" fontId="27" fillId="0" borderId="0" xfId="42" applyFont="1" applyAlignment="1">
      <alignment vertical="center"/>
    </xf>
    <xf numFmtId="14" fontId="30" fillId="33" borderId="0" xfId="43" applyNumberFormat="1" applyFont="1" applyFill="1" applyBorder="1" applyAlignment="1">
      <alignment horizontal="center" vertical="center" wrapText="1"/>
    </xf>
    <xf numFmtId="0" fontId="23" fillId="36" borderId="0" xfId="42" applyFont="1" applyFill="1" applyAlignment="1">
      <alignment horizontal="centerContinuous" vertical="center" wrapText="1"/>
    </xf>
    <xf numFmtId="166" fontId="23" fillId="36" borderId="0" xfId="43" applyNumberFormat="1" applyFont="1" applyFill="1" applyAlignment="1">
      <alignment horizontal="centerContinuous" vertical="center" wrapText="1"/>
    </xf>
    <xf numFmtId="166" fontId="32" fillId="36" borderId="0" xfId="43" applyNumberFormat="1" applyFont="1" applyFill="1" applyAlignment="1">
      <alignment horizontal="centerContinuous" vertical="center" wrapText="1"/>
    </xf>
    <xf numFmtId="166" fontId="22" fillId="0" borderId="0" xfId="43" applyNumberFormat="1" applyFont="1"/>
    <xf numFmtId="0" fontId="16" fillId="0" borderId="16" xfId="0" applyFont="1" applyBorder="1"/>
    <xf numFmtId="166" fontId="16" fillId="0" borderId="16" xfId="43" applyNumberFormat="1" applyFont="1" applyBorder="1"/>
    <xf numFmtId="0" fontId="26" fillId="0" borderId="16" xfId="0" applyFont="1" applyBorder="1"/>
    <xf numFmtId="166" fontId="26" fillId="0" borderId="16" xfId="43" applyNumberFormat="1" applyFont="1" applyBorder="1"/>
    <xf numFmtId="0" fontId="21" fillId="0" borderId="0" xfId="42" applyBorder="1"/>
    <xf numFmtId="166" fontId="21" fillId="0" borderId="0" xfId="43" applyNumberFormat="1" applyFont="1" applyBorder="1"/>
    <xf numFmtId="9" fontId="9" fillId="5" borderId="4" xfId="44" applyFont="1" applyFill="1" applyBorder="1"/>
    <xf numFmtId="9" fontId="0" fillId="0" borderId="0" xfId="44" applyFont="1"/>
    <xf numFmtId="9" fontId="9" fillId="5" borderId="17" xfId="44" applyFont="1" applyFill="1" applyBorder="1"/>
    <xf numFmtId="167" fontId="30" fillId="0" borderId="10" xfId="43" applyNumberFormat="1" applyFont="1" applyFill="1" applyBorder="1" applyAlignment="1">
      <alignment horizontal="center" vertical="center" wrapText="1"/>
    </xf>
    <xf numFmtId="0" fontId="26" fillId="0" borderId="0" xfId="0" applyFont="1" applyBorder="1"/>
    <xf numFmtId="0" fontId="25" fillId="33" borderId="11" xfId="42" applyFont="1" applyFill="1" applyBorder="1" applyAlignment="1">
      <alignment horizontal="center" vertical="center" wrapText="1"/>
    </xf>
    <xf numFmtId="14" fontId="25" fillId="33" borderId="11" xfId="43" applyNumberFormat="1" applyFont="1" applyFill="1" applyBorder="1" applyAlignment="1">
      <alignment horizontal="center" vertical="center" wrapText="1"/>
    </xf>
    <xf numFmtId="166" fontId="25" fillId="33" borderId="11" xfId="43" applyNumberFormat="1" applyFont="1" applyFill="1" applyBorder="1" applyAlignment="1">
      <alignment horizontal="center" vertical="center" wrapText="1"/>
    </xf>
    <xf numFmtId="0" fontId="30" fillId="33" borderId="18" xfId="42" applyFont="1" applyFill="1" applyBorder="1" applyAlignment="1">
      <alignment horizontal="center" vertical="center" wrapText="1"/>
    </xf>
    <xf numFmtId="14" fontId="30" fillId="33" borderId="18" xfId="43" applyNumberFormat="1" applyFont="1" applyFill="1" applyBorder="1" applyAlignment="1">
      <alignment horizontal="center" vertical="center" wrapText="1"/>
    </xf>
    <xf numFmtId="166" fontId="30" fillId="33" borderId="18" xfId="43" applyNumberFormat="1" applyFont="1" applyFill="1" applyBorder="1" applyAlignment="1">
      <alignment horizontal="center" vertical="center" wrapText="1"/>
    </xf>
    <xf numFmtId="0" fontId="33" fillId="0" borderId="12" xfId="0" applyFont="1" applyBorder="1"/>
    <xf numFmtId="0" fontId="16" fillId="0" borderId="0" xfId="0" applyFont="1" applyBorder="1"/>
    <xf numFmtId="0" fontId="22" fillId="0" borderId="0" xfId="42" applyFont="1" applyAlignment="1">
      <alignment horizontal="left" indent="1"/>
    </xf>
    <xf numFmtId="0" fontId="21" fillId="0" borderId="0" xfId="42" applyFont="1"/>
    <xf numFmtId="166" fontId="22" fillId="0" borderId="0" xfId="43" applyNumberFormat="1" applyFont="1" applyAlignment="1">
      <alignment horizontal="right"/>
    </xf>
    <xf numFmtId="0" fontId="22" fillId="0" borderId="19" xfId="42" applyFont="1" applyBorder="1" applyAlignment="1">
      <alignment horizontal="left" indent="1"/>
    </xf>
    <xf numFmtId="166" fontId="22" fillId="0" borderId="19" xfId="43" applyNumberFormat="1" applyFont="1" applyBorder="1"/>
    <xf numFmtId="0" fontId="22" fillId="0" borderId="0" xfId="42" applyFont="1" applyBorder="1" applyAlignment="1">
      <alignment horizontal="left" indent="1"/>
    </xf>
    <xf numFmtId="166" fontId="22" fillId="0" borderId="0" xfId="43" applyNumberFormat="1" applyFont="1" applyBorder="1"/>
    <xf numFmtId="168" fontId="9" fillId="5" borderId="4" xfId="44" applyNumberFormat="1" applyFont="1" applyFill="1" applyBorder="1"/>
    <xf numFmtId="10" fontId="9" fillId="5" borderId="4" xfId="44" applyNumberFormat="1" applyFont="1" applyFill="1" applyBorder="1"/>
    <xf numFmtId="166" fontId="26" fillId="0" borderId="0" xfId="43" applyNumberFormat="1" applyFont="1" applyBorder="1"/>
    <xf numFmtId="166" fontId="21" fillId="0" borderId="19" xfId="43" applyNumberFormat="1" applyFont="1" applyBorder="1"/>
    <xf numFmtId="0" fontId="34" fillId="0" borderId="0" xfId="0" applyFont="1" applyBorder="1"/>
    <xf numFmtId="0" fontId="0" fillId="0" borderId="0" xfId="0" applyFont="1" applyBorder="1"/>
    <xf numFmtId="166" fontId="34" fillId="0" borderId="0" xfId="43" applyNumberFormat="1" applyFont="1" applyBorder="1"/>
    <xf numFmtId="0" fontId="26" fillId="0" borderId="0" xfId="0" applyFont="1" applyBorder="1" applyAlignment="1">
      <alignment horizontal="left" indent="1"/>
    </xf>
    <xf numFmtId="0" fontId="21" fillId="0" borderId="19" xfId="42" applyFont="1" applyBorder="1" applyAlignment="1">
      <alignment horizontal="left" indent="2"/>
    </xf>
    <xf numFmtId="0" fontId="21" fillId="0" borderId="0" xfId="42" applyAlignment="1">
      <alignment horizontal="left" indent="2"/>
    </xf>
    <xf numFmtId="168" fontId="10" fillId="6" borderId="5" xfId="10" applyNumberFormat="1"/>
    <xf numFmtId="168" fontId="10" fillId="6" borderId="5" xfId="44" applyNumberFormat="1" applyFont="1" applyFill="1" applyBorder="1"/>
    <xf numFmtId="166" fontId="36" fillId="0" borderId="0" xfId="43" applyNumberFormat="1" applyFont="1"/>
    <xf numFmtId="168" fontId="21" fillId="0" borderId="0" xfId="43" applyNumberFormat="1" applyFont="1"/>
    <xf numFmtId="168" fontId="29" fillId="0" borderId="15" xfId="42" applyNumberFormat="1" applyFont="1" applyBorder="1" applyAlignment="1">
      <alignment horizontal="left"/>
    </xf>
    <xf numFmtId="168" fontId="21" fillId="0" borderId="0" xfId="43" applyNumberFormat="1" applyFont="1" applyBorder="1"/>
    <xf numFmtId="168" fontId="30" fillId="37" borderId="10" xfId="43" applyNumberFormat="1" applyFont="1" applyFill="1" applyBorder="1" applyAlignment="1">
      <alignment horizontal="center" vertical="center" wrapText="1"/>
    </xf>
    <xf numFmtId="168" fontId="0" fillId="0" borderId="0" xfId="44" applyNumberFormat="1" applyFont="1"/>
    <xf numFmtId="168" fontId="0" fillId="0" borderId="0" xfId="0" applyNumberFormat="1"/>
    <xf numFmtId="168" fontId="24" fillId="36" borderId="0" xfId="43" applyNumberFormat="1" applyFont="1" applyFill="1" applyAlignment="1">
      <alignment horizontal="centerContinuous" vertical="center" wrapText="1"/>
    </xf>
    <xf numFmtId="168" fontId="30" fillId="33" borderId="0" xfId="43" applyNumberFormat="1" applyFont="1" applyFill="1" applyBorder="1" applyAlignment="1">
      <alignment horizontal="center" vertical="center" wrapText="1"/>
    </xf>
    <xf numFmtId="168" fontId="30" fillId="33" borderId="18" xfId="43" applyNumberFormat="1" applyFont="1" applyFill="1" applyBorder="1" applyAlignment="1">
      <alignment horizontal="center" vertical="center" wrapText="1"/>
    </xf>
    <xf numFmtId="168" fontId="26" fillId="0" borderId="16" xfId="43" applyNumberFormat="1" applyFont="1" applyBorder="1"/>
    <xf numFmtId="168" fontId="22" fillId="0" borderId="0" xfId="43" applyNumberFormat="1" applyFont="1"/>
    <xf numFmtId="168" fontId="21" fillId="0" borderId="0" xfId="43" applyNumberFormat="1" applyFont="1" applyAlignment="1">
      <alignment horizontal="right"/>
    </xf>
    <xf numFmtId="168" fontId="22" fillId="0" borderId="19" xfId="43" applyNumberFormat="1" applyFont="1" applyBorder="1"/>
    <xf numFmtId="168" fontId="22" fillId="0" borderId="0" xfId="43" applyNumberFormat="1" applyFont="1" applyBorder="1"/>
    <xf numFmtId="168" fontId="22" fillId="0" borderId="0" xfId="43" applyNumberFormat="1" applyFont="1" applyAlignment="1">
      <alignment horizontal="right"/>
    </xf>
    <xf numFmtId="168" fontId="34" fillId="0" borderId="0" xfId="43" applyNumberFormat="1" applyFont="1" applyBorder="1"/>
    <xf numFmtId="168" fontId="21" fillId="0" borderId="19" xfId="43" applyNumberFormat="1" applyFont="1" applyBorder="1"/>
    <xf numFmtId="168" fontId="26" fillId="0" borderId="0" xfId="43" applyNumberFormat="1" applyFont="1" applyBorder="1"/>
    <xf numFmtId="169" fontId="21" fillId="0" borderId="0" xfId="44" applyNumberFormat="1" applyFont="1"/>
    <xf numFmtId="169" fontId="29" fillId="0" borderId="15" xfId="44" applyNumberFormat="1" applyFont="1" applyBorder="1" applyAlignment="1">
      <alignment horizontal="left"/>
    </xf>
    <xf numFmtId="169" fontId="21" fillId="0" borderId="0" xfId="44" applyNumberFormat="1" applyFont="1" applyBorder="1"/>
    <xf numFmtId="169" fontId="30" fillId="37" borderId="10" xfId="44" applyNumberFormat="1" applyFont="1" applyFill="1" applyBorder="1" applyAlignment="1">
      <alignment horizontal="center" vertical="center" wrapText="1"/>
    </xf>
    <xf numFmtId="169" fontId="0" fillId="0" borderId="0" xfId="44" applyNumberFormat="1" applyFont="1"/>
    <xf numFmtId="169" fontId="10" fillId="6" borderId="5" xfId="44" applyNumberFormat="1" applyFont="1" applyFill="1" applyBorder="1"/>
    <xf numFmtId="169" fontId="24" fillId="36" borderId="0" xfId="44" applyNumberFormat="1" applyFont="1" applyFill="1" applyAlignment="1">
      <alignment horizontal="centerContinuous" vertical="center" wrapText="1"/>
    </xf>
    <xf numFmtId="169" fontId="30" fillId="33" borderId="0" xfId="44" applyNumberFormat="1" applyFont="1" applyFill="1" applyBorder="1" applyAlignment="1">
      <alignment horizontal="center" vertical="center" wrapText="1"/>
    </xf>
    <xf numFmtId="169" fontId="30" fillId="33" borderId="18" xfId="44" applyNumberFormat="1" applyFont="1" applyFill="1" applyBorder="1" applyAlignment="1">
      <alignment horizontal="center" vertical="center" wrapText="1"/>
    </xf>
    <xf numFmtId="169" fontId="26" fillId="0" borderId="16" xfId="44" applyNumberFormat="1" applyFont="1" applyBorder="1"/>
    <xf numFmtId="169" fontId="22" fillId="0" borderId="0" xfId="44" applyNumberFormat="1" applyFont="1"/>
    <xf numFmtId="169" fontId="21" fillId="0" borderId="0" xfId="44" applyNumberFormat="1" applyFont="1" applyAlignment="1">
      <alignment horizontal="right"/>
    </xf>
    <xf numFmtId="169" fontId="22" fillId="0" borderId="19" xfId="44" applyNumberFormat="1" applyFont="1" applyBorder="1"/>
    <xf numFmtId="169" fontId="22" fillId="0" borderId="0" xfId="44" applyNumberFormat="1" applyFont="1" applyBorder="1"/>
    <xf numFmtId="169" fontId="22" fillId="0" borderId="0" xfId="44" applyNumberFormat="1" applyFont="1" applyAlignment="1">
      <alignment horizontal="right"/>
    </xf>
    <xf numFmtId="169" fontId="34" fillId="0" borderId="0" xfId="44" applyNumberFormat="1" applyFont="1" applyBorder="1"/>
    <xf numFmtId="169" fontId="21" fillId="0" borderId="19" xfId="44" applyNumberFormat="1" applyFont="1" applyBorder="1"/>
    <xf numFmtId="169" fontId="26" fillId="0" borderId="0" xfId="44" applyNumberFormat="1" applyFont="1" applyBorder="1"/>
    <xf numFmtId="170" fontId="21" fillId="0" borderId="0" xfId="44" applyNumberFormat="1" applyFont="1"/>
    <xf numFmtId="170" fontId="29" fillId="0" borderId="15" xfId="44" applyNumberFormat="1" applyFont="1" applyBorder="1" applyAlignment="1">
      <alignment horizontal="left"/>
    </xf>
    <xf numFmtId="170" fontId="21" fillId="0" borderId="0" xfId="44" applyNumberFormat="1" applyFont="1" applyBorder="1"/>
    <xf numFmtId="170" fontId="30" fillId="37" borderId="10" xfId="44" applyNumberFormat="1" applyFont="1" applyFill="1" applyBorder="1" applyAlignment="1">
      <alignment horizontal="center" vertical="center" wrapText="1"/>
    </xf>
    <xf numFmtId="170" fontId="0" fillId="0" borderId="0" xfId="44" applyNumberFormat="1" applyFont="1"/>
    <xf numFmtId="170" fontId="10" fillId="6" borderId="5" xfId="44" applyNumberFormat="1" applyFont="1" applyFill="1" applyBorder="1"/>
    <xf numFmtId="170" fontId="24" fillId="36" borderId="0" xfId="44" applyNumberFormat="1" applyFont="1" applyFill="1" applyAlignment="1">
      <alignment horizontal="centerContinuous" vertical="center" wrapText="1"/>
    </xf>
    <xf numFmtId="170" fontId="30" fillId="33" borderId="0" xfId="44" applyNumberFormat="1" applyFont="1" applyFill="1" applyBorder="1" applyAlignment="1">
      <alignment horizontal="center" vertical="center" wrapText="1"/>
    </xf>
    <xf numFmtId="170" fontId="30" fillId="33" borderId="18" xfId="44" applyNumberFormat="1" applyFont="1" applyFill="1" applyBorder="1" applyAlignment="1">
      <alignment horizontal="center" vertical="center" wrapText="1"/>
    </xf>
    <xf numFmtId="170" fontId="26" fillId="0" borderId="16" xfId="44" applyNumberFormat="1" applyFont="1" applyBorder="1"/>
    <xf numFmtId="170" fontId="22" fillId="0" borderId="0" xfId="44" applyNumberFormat="1" applyFont="1"/>
    <xf numFmtId="170" fontId="21" fillId="0" borderId="0" xfId="44" applyNumberFormat="1" applyFont="1" applyAlignment="1">
      <alignment horizontal="right"/>
    </xf>
    <xf numFmtId="170" fontId="22" fillId="0" borderId="19" xfId="44" applyNumberFormat="1" applyFont="1" applyBorder="1"/>
    <xf numFmtId="170" fontId="22" fillId="0" borderId="0" xfId="44" applyNumberFormat="1" applyFont="1" applyBorder="1"/>
    <xf numFmtId="170" fontId="22" fillId="0" borderId="0" xfId="44" applyNumberFormat="1" applyFont="1" applyAlignment="1">
      <alignment horizontal="right"/>
    </xf>
    <xf numFmtId="170" fontId="34" fillId="0" borderId="0" xfId="44" applyNumberFormat="1" applyFont="1" applyBorder="1"/>
    <xf numFmtId="170" fontId="21" fillId="0" borderId="19" xfId="44" applyNumberFormat="1" applyFont="1" applyBorder="1"/>
    <xf numFmtId="170" fontId="26" fillId="0" borderId="0" xfId="44" applyNumberFormat="1" applyFont="1" applyBorder="1"/>
    <xf numFmtId="166" fontId="9" fillId="5" borderId="4" xfId="44" applyNumberFormat="1" applyFont="1" applyFill="1" applyBorder="1"/>
    <xf numFmtId="43" fontId="21" fillId="0" borderId="0" xfId="42" applyNumberFormat="1"/>
    <xf numFmtId="166" fontId="35" fillId="0" borderId="19" xfId="43" applyNumberFormat="1" applyFont="1" applyBorder="1"/>
    <xf numFmtId="166" fontId="35" fillId="0" borderId="0" xfId="43" applyNumberFormat="1" applyFont="1" applyAlignment="1">
      <alignment horizontal="right"/>
    </xf>
    <xf numFmtId="0" fontId="21" fillId="37" borderId="0" xfId="42" applyFill="1" applyAlignment="1">
      <alignment horizontal="left" indent="1"/>
    </xf>
    <xf numFmtId="166" fontId="21" fillId="37" borderId="0" xfId="43" applyNumberFormat="1" applyFont="1" applyFill="1"/>
    <xf numFmtId="171" fontId="22" fillId="0" borderId="19" xfId="43" applyNumberFormat="1" applyFont="1" applyBorder="1"/>
    <xf numFmtId="166" fontId="10" fillId="6" borderId="5" xfId="43" applyNumberFormat="1" applyFont="1" applyFill="1" applyBorder="1"/>
    <xf numFmtId="166" fontId="9" fillId="5" borderId="4" xfId="43" applyNumberFormat="1" applyFont="1" applyFill="1" applyBorder="1"/>
    <xf numFmtId="0" fontId="21" fillId="0" borderId="21" xfId="42" applyFont="1" applyBorder="1" applyAlignment="1">
      <alignment horizontal="left" indent="2"/>
    </xf>
    <xf numFmtId="166" fontId="21" fillId="0" borderId="21" xfId="43" applyNumberFormat="1" applyFont="1" applyBorder="1"/>
    <xf numFmtId="170" fontId="21" fillId="0" borderId="21" xfId="44" applyNumberFormat="1" applyFont="1" applyBorder="1"/>
    <xf numFmtId="169" fontId="21" fillId="0" borderId="21" xfId="44" applyNumberFormat="1" applyFont="1" applyBorder="1"/>
    <xf numFmtId="168" fontId="21" fillId="0" borderId="21" xfId="43" applyNumberFormat="1" applyFont="1" applyBorder="1"/>
    <xf numFmtId="0" fontId="37" fillId="0" borderId="21" xfId="42" applyFont="1" applyBorder="1" applyAlignment="1">
      <alignment horizontal="left" indent="2"/>
    </xf>
    <xf numFmtId="0" fontId="38" fillId="0" borderId="21" xfId="0" applyFont="1" applyBorder="1"/>
    <xf numFmtId="166" fontId="37" fillId="0" borderId="21" xfId="43" applyNumberFormat="1" applyFont="1" applyBorder="1"/>
    <xf numFmtId="166" fontId="25" fillId="0" borderId="19" xfId="43" applyNumberFormat="1" applyFont="1" applyBorder="1"/>
    <xf numFmtId="166" fontId="39" fillId="0" borderId="19" xfId="43" applyNumberFormat="1" applyFont="1" applyBorder="1"/>
    <xf numFmtId="0" fontId="22" fillId="0" borderId="0" xfId="42" applyFont="1" applyAlignment="1">
      <alignment horizontal="left" indent="2"/>
    </xf>
    <xf numFmtId="166" fontId="25" fillId="0" borderId="0" xfId="43" applyNumberFormat="1" applyFont="1"/>
    <xf numFmtId="166" fontId="40" fillId="0" borderId="0" xfId="43" applyNumberFormat="1" applyFont="1"/>
    <xf numFmtId="171" fontId="9" fillId="5" borderId="4" xfId="44" applyNumberFormat="1" applyFont="1" applyFill="1" applyBorder="1"/>
    <xf numFmtId="0" fontId="21" fillId="0" borderId="0" xfId="42" applyBorder="1" applyAlignment="1">
      <alignment horizontal="left" indent="2"/>
    </xf>
    <xf numFmtId="0" fontId="21" fillId="0" borderId="0" xfId="42" applyFont="1" applyBorder="1" applyAlignment="1">
      <alignment horizontal="left" indent="2"/>
    </xf>
    <xf numFmtId="0" fontId="21" fillId="0" borderId="0" xfId="42" applyFont="1" applyBorder="1"/>
    <xf numFmtId="0" fontId="22" fillId="0" borderId="0" xfId="42" applyFont="1" applyBorder="1"/>
    <xf numFmtId="0" fontId="0" fillId="0" borderId="0" xfId="0" applyAlignment="1">
      <alignment horizontal="left"/>
    </xf>
    <xf numFmtId="1" fontId="0" fillId="0" borderId="0" xfId="0" applyNumberFormat="1"/>
    <xf numFmtId="166" fontId="9" fillId="5" borderId="4" xfId="9" applyNumberFormat="1"/>
    <xf numFmtId="9" fontId="9" fillId="5" borderId="4" xfId="44" applyNumberFormat="1" applyFont="1" applyFill="1" applyBorder="1"/>
    <xf numFmtId="0" fontId="37" fillId="0" borderId="0" xfId="42" applyFont="1" applyBorder="1" applyAlignment="1">
      <alignment horizontal="left" indent="3"/>
    </xf>
    <xf numFmtId="166" fontId="22" fillId="0" borderId="0" xfId="43" applyNumberFormat="1" applyFont="1" applyBorder="1" applyAlignment="1">
      <alignment horizontal="right"/>
    </xf>
    <xf numFmtId="0" fontId="39" fillId="0" borderId="0" xfId="42" applyFont="1" applyAlignment="1">
      <alignment horizontal="left" indent="1"/>
    </xf>
    <xf numFmtId="0" fontId="21" fillId="0" borderId="0" xfId="43" applyNumberFormat="1" applyFont="1" applyBorder="1"/>
    <xf numFmtId="43" fontId="10" fillId="6" borderId="5" xfId="43" applyFont="1" applyFill="1" applyBorder="1"/>
    <xf numFmtId="10" fontId="10" fillId="6" borderId="5" xfId="44" applyNumberFormat="1" applyFont="1" applyFill="1" applyBorder="1"/>
    <xf numFmtId="0" fontId="37" fillId="0" borderId="0" xfId="42" applyFont="1" applyAlignment="1">
      <alignment horizontal="left" indent="2"/>
    </xf>
    <xf numFmtId="0" fontId="38" fillId="0" borderId="0" xfId="0" applyFont="1"/>
    <xf numFmtId="166" fontId="37" fillId="0" borderId="0" xfId="43" applyNumberFormat="1" applyFont="1"/>
    <xf numFmtId="0" fontId="37" fillId="0" borderId="0" xfId="42" applyFont="1"/>
    <xf numFmtId="9" fontId="10" fillId="6" borderId="5" xfId="10" applyNumberFormat="1"/>
    <xf numFmtId="171" fontId="10" fillId="6" borderId="5" xfId="43" applyNumberFormat="1" applyFont="1" applyFill="1" applyBorder="1"/>
    <xf numFmtId="171" fontId="21" fillId="0" borderId="0" xfId="42" applyNumberFormat="1" applyAlignment="1">
      <alignment horizontal="left" indent="2"/>
    </xf>
    <xf numFmtId="171" fontId="0" fillId="0" borderId="0" xfId="0" applyNumberFormat="1"/>
    <xf numFmtId="171" fontId="21" fillId="0" borderId="0" xfId="43" applyNumberFormat="1" applyFont="1"/>
    <xf numFmtId="171" fontId="21" fillId="0" borderId="0" xfId="42" applyNumberFormat="1"/>
    <xf numFmtId="171" fontId="22" fillId="0" borderId="19" xfId="42" applyNumberFormat="1" applyFont="1" applyBorder="1" applyAlignment="1">
      <alignment horizontal="left" indent="1"/>
    </xf>
    <xf numFmtId="171" fontId="16" fillId="0" borderId="0" xfId="0" applyNumberFormat="1" applyFont="1"/>
    <xf numFmtId="171" fontId="22" fillId="0" borderId="19" xfId="44" applyNumberFormat="1" applyFont="1" applyBorder="1"/>
    <xf numFmtId="171" fontId="22" fillId="0" borderId="0" xfId="42" applyNumberFormat="1" applyFont="1"/>
    <xf numFmtId="171" fontId="36" fillId="0" borderId="0" xfId="42" applyNumberFormat="1" applyFont="1" applyAlignment="1">
      <alignment horizontal="left" indent="2"/>
    </xf>
    <xf numFmtId="171" fontId="41" fillId="0" borderId="0" xfId="0" applyNumberFormat="1" applyFont="1"/>
    <xf numFmtId="171" fontId="36" fillId="0" borderId="0" xfId="43" applyNumberFormat="1" applyFont="1"/>
    <xf numFmtId="171" fontId="36" fillId="0" borderId="0" xfId="42" applyNumberFormat="1" applyFont="1"/>
    <xf numFmtId="0" fontId="21" fillId="37" borderId="0" xfId="42" applyFont="1" applyFill="1" applyAlignment="1">
      <alignment horizontal="left" indent="2"/>
    </xf>
    <xf numFmtId="0" fontId="21" fillId="37" borderId="0" xfId="42" applyFill="1" applyAlignment="1">
      <alignment horizontal="left" indent="2"/>
    </xf>
    <xf numFmtId="166" fontId="37" fillId="0" borderId="19" xfId="43" applyNumberFormat="1" applyFont="1" applyBorder="1"/>
    <xf numFmtId="170" fontId="37" fillId="0" borderId="19" xfId="44" applyNumberFormat="1" applyFont="1" applyBorder="1"/>
    <xf numFmtId="169" fontId="37" fillId="0" borderId="19" xfId="44" applyNumberFormat="1" applyFont="1" applyBorder="1"/>
    <xf numFmtId="168" fontId="37" fillId="0" borderId="19" xfId="43" applyNumberFormat="1" applyFont="1" applyBorder="1"/>
    <xf numFmtId="0" fontId="37" fillId="0" borderId="19" xfId="42" applyFont="1" applyBorder="1" applyAlignment="1">
      <alignment horizontal="left" indent="2"/>
    </xf>
    <xf numFmtId="170" fontId="42" fillId="37" borderId="10" xfId="44" applyNumberFormat="1" applyFont="1" applyFill="1" applyBorder="1" applyAlignment="1">
      <alignment horizontal="center" vertical="center" wrapText="1"/>
    </xf>
    <xf numFmtId="169" fontId="42" fillId="37" borderId="10" xfId="44" applyNumberFormat="1" applyFont="1" applyFill="1" applyBorder="1" applyAlignment="1">
      <alignment horizontal="center" vertical="center" wrapText="1"/>
    </xf>
    <xf numFmtId="168" fontId="42" fillId="37" borderId="10" xfId="43" applyNumberFormat="1" applyFont="1" applyFill="1" applyBorder="1" applyAlignment="1">
      <alignment horizontal="center" vertical="center" wrapText="1"/>
    </xf>
    <xf numFmtId="171" fontId="26" fillId="0" borderId="16" xfId="43" applyNumberFormat="1" applyFont="1" applyBorder="1"/>
    <xf numFmtId="0" fontId="21" fillId="0" borderId="0" xfId="42" applyAlignment="1">
      <alignment horizontal="left" indent="3"/>
    </xf>
    <xf numFmtId="9" fontId="21" fillId="0" borderId="0" xfId="44" applyFont="1" applyBorder="1"/>
    <xf numFmtId="172" fontId="10" fillId="6" borderId="5" xfId="44" applyNumberFormat="1" applyFont="1" applyFill="1" applyBorder="1"/>
    <xf numFmtId="166" fontId="22" fillId="0" borderId="0" xfId="43" applyNumberFormat="1" applyFont="1" applyAlignment="1">
      <alignment horizontal="center"/>
    </xf>
    <xf numFmtId="171" fontId="9" fillId="5" borderId="4" xfId="9" applyNumberFormat="1"/>
    <xf numFmtId="173" fontId="9" fillId="5" borderId="4" xfId="43" applyNumberFormat="1" applyFont="1" applyFill="1" applyBorder="1"/>
    <xf numFmtId="0" fontId="21" fillId="0" borderId="0" xfId="42" applyAlignment="1">
      <alignment horizontal="right"/>
    </xf>
    <xf numFmtId="0" fontId="28" fillId="0" borderId="0" xfId="42" applyFont="1" applyAlignment="1">
      <alignment horizontal="right"/>
    </xf>
    <xf numFmtId="0" fontId="21" fillId="0" borderId="0" xfId="42" applyBorder="1" applyAlignment="1">
      <alignment horizontal="right"/>
    </xf>
    <xf numFmtId="0" fontId="2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1" fillId="0" borderId="0" xfId="42" applyAlignment="1">
      <alignment horizontal="right" vertical="center"/>
    </xf>
    <xf numFmtId="0" fontId="27" fillId="0" borderId="0" xfId="42" applyFont="1" applyAlignment="1">
      <alignment horizontal="right" vertical="center"/>
    </xf>
    <xf numFmtId="0" fontId="22" fillId="0" borderId="0" xfId="42" applyFont="1" applyAlignment="1">
      <alignment horizontal="right"/>
    </xf>
    <xf numFmtId="0" fontId="26" fillId="0" borderId="0" xfId="0" applyFont="1" applyBorder="1" applyAlignment="1">
      <alignment horizontal="right"/>
    </xf>
    <xf numFmtId="0" fontId="37" fillId="0" borderId="0" xfId="42" applyFont="1" applyAlignment="1">
      <alignment horizontal="right"/>
    </xf>
    <xf numFmtId="0" fontId="22" fillId="0" borderId="0" xfId="42" applyFont="1" applyAlignment="1">
      <alignment horizontal="center"/>
    </xf>
    <xf numFmtId="0" fontId="21" fillId="37" borderId="0" xfId="42" applyFill="1" applyAlignment="1">
      <alignment horizontal="left" indent="3"/>
    </xf>
    <xf numFmtId="171" fontId="21" fillId="37" borderId="0" xfId="43" applyNumberFormat="1" applyFont="1" applyFill="1"/>
    <xf numFmtId="0" fontId="36" fillId="0" borderId="0" xfId="42" applyFont="1" applyAlignment="1">
      <alignment horizontal="left" indent="2"/>
    </xf>
    <xf numFmtId="0" fontId="41" fillId="0" borderId="0" xfId="0" applyFont="1"/>
    <xf numFmtId="0" fontId="36" fillId="0" borderId="0" xfId="42" applyFont="1"/>
    <xf numFmtId="166" fontId="9" fillId="5" borderId="0" xfId="43" applyNumberFormat="1" applyFont="1" applyFill="1" applyBorder="1"/>
    <xf numFmtId="43" fontId="10" fillId="6" borderId="0" xfId="43" applyFont="1" applyFill="1" applyBorder="1"/>
    <xf numFmtId="10" fontId="10" fillId="6" borderId="0" xfId="44" applyNumberFormat="1" applyFont="1" applyFill="1" applyBorder="1"/>
    <xf numFmtId="166" fontId="9" fillId="5" borderId="0" xfId="44" applyNumberFormat="1" applyFont="1" applyFill="1" applyBorder="1"/>
    <xf numFmtId="0" fontId="37" fillId="0" borderId="20" xfId="42" applyFont="1" applyBorder="1" applyAlignment="1">
      <alignment horizontal="left" indent="2"/>
    </xf>
    <xf numFmtId="166" fontId="21" fillId="0" borderId="20" xfId="43" applyNumberFormat="1" applyFont="1" applyBorder="1"/>
    <xf numFmtId="170" fontId="21" fillId="0" borderId="20" xfId="44" applyNumberFormat="1" applyFont="1" applyBorder="1"/>
    <xf numFmtId="169" fontId="21" fillId="0" borderId="20" xfId="44" applyNumberFormat="1" applyFont="1" applyBorder="1"/>
    <xf numFmtId="168" fontId="21" fillId="0" borderId="20" xfId="43" applyNumberFormat="1" applyFont="1" applyBorder="1"/>
    <xf numFmtId="166" fontId="35" fillId="0" borderId="20" xfId="43" applyNumberFormat="1" applyFont="1" applyBorder="1"/>
    <xf numFmtId="0" fontId="21" fillId="0" borderId="0" xfId="42" applyFont="1" applyAlignment="1">
      <alignment horizontal="left" indent="2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1F2DB37-B251-4948-A045-5BE01EEFD472}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theme" Target="theme/theme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GIII!$B$22</c:f>
          <c:strCache>
            <c:ptCount val="1"/>
            <c:pt idx="0">
              <c:v>Additional paid-in capital - Trends (Reg)</c:v>
            </c:pt>
          </c:strCache>
        </c:strRef>
      </c:tx>
      <c:overlay val="0"/>
      <c:txPr>
        <a:bodyPr/>
        <a:lstStyle/>
        <a:p>
          <a:pPr>
            <a:defRPr sz="14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Adtn'l PIC</c:v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trendline>
            <c:spPr>
              <a:ln>
                <a:solidFill>
                  <a:srgbClr val="5B9BD5">
                    <a:alpha val="75000"/>
                  </a:srgbClr>
                </a:solidFill>
                <a:prstDash val="dash"/>
              </a:ln>
            </c:spPr>
            <c:trendlineType val="poly"/>
            <c:order val="2"/>
            <c:forward val="4"/>
            <c:dispRSqr val="1"/>
            <c:dispEq val="1"/>
            <c:trendlineLbl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chemeClr val="bg2">
                          <a:lumMod val="25000"/>
                        </a:schemeClr>
                      </a:solidFill>
                    </a:defRPr>
                  </a:pPr>
                  <a:endParaRPr lang="en-US"/>
                </a:p>
              </c:txPr>
            </c:trendlineLbl>
          </c:trendline>
          <c:val>
            <c:numRef>
              <c:f>GIII!$L$22:$U$22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GIII!$L$10:$U$10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984-4069-8E58-6E2863CD9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cat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Algn val="ctr"/>
        <c:lblOffset val="100"/>
        <c:noMultiLvlLbl val="0"/>
      </c:cat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1298C957-CA6A-473F-9103-7D7ADE7E2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6E9EFA36-8EE4-4C1F-885F-9659BFFC2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294" y="89647"/>
          <a:ext cx="476250" cy="476250"/>
        </a:xfrm>
        <a:prstGeom prst="rect">
          <a:avLst/>
        </a:prstGeom>
        <a:ln>
          <a:solidFill>
            <a:schemeClr val="bg1">
              <a:lumMod val="95000"/>
            </a:schemeClr>
          </a:solidFill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254ABB9F-4A68-4139-8981-B7947DC68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C5A76913-F8E2-4073-AC8A-1FBB561BB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F0021A59-E684-4290-ADD1-A647853FD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  <xdr:twoCellAnchor>
    <xdr:from>
      <xdr:col>26</xdr:col>
      <xdr:colOff>-1</xdr:colOff>
      <xdr:row>9</xdr:row>
      <xdr:rowOff>0</xdr:rowOff>
    </xdr:from>
    <xdr:to>
      <xdr:col>31</xdr:col>
      <xdr:colOff>803312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BF15D8-E5EF-45D9-AF7B-885534A8F6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DA01C522-7AE7-4BE7-BE13-AD6D04F06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57325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E4009528-3FFD-478C-ABEA-9D78CA087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7325" cy="476250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penter, Daniel B." id="{3C9F2DA4-1AC7-4AD9-99C5-41BB412782DC}" userId="Carpenter, Daniel B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3" dT="2020-10-02T15:41:32.80" personId="{3C9F2DA4-1AC7-4AD9-99C5-41BB412782DC}" id="{A77EA3A7-8DAC-4BD3-9EAB-16AF015D9C6C}">
    <text>Downward trend (reg based)</text>
  </threadedComment>
  <threadedComment ref="G14" dT="2020-10-01T21:21:58.47" personId="{3C9F2DA4-1AC7-4AD9-99C5-41BB412782DC}" id="{E4B6DD90-96AE-419D-A19C-EE39C5F16F8C}">
    <text>Seasonal</text>
  </threadedComment>
  <threadedComment ref="G20" dT="2020-10-02T15:33:57.71" personId="{3C9F2DA4-1AC7-4AD9-99C5-41BB412782DC}" id="{D72E951A-E7D2-4B63-A58A-121408BA1CBC}">
    <text>Assumed larger due to COVID</text>
  </threadedComment>
  <threadedComment ref="G21" dT="2020-10-02T15:34:22.31" personId="{3C9F2DA4-1AC7-4AD9-99C5-41BB412782DC}" id="{DDABB4FB-17E3-4558-A1A9-8EE678BC8C93}">
    <text>Seasonal</text>
  </threadedComment>
  <threadedComment ref="G22" dT="2020-10-02T15:34:22.31" personId="{3C9F2DA4-1AC7-4AD9-99C5-41BB412782DC}" id="{DADB715F-DF3F-4FED-8A82-0D24A8FEFD5D}">
    <text>Seasonal</text>
  </threadedComment>
  <threadedComment ref="G23" dT="2020-10-02T15:37:28.24" personId="{3C9F2DA4-1AC7-4AD9-99C5-41BB412782DC}" id="{11A16DB9-EA17-470D-A898-A63D8353735C}">
    <text>Downward Trend</text>
  </threadedComment>
  <threadedComment ref="G25" dT="2020-10-02T15:34:22.31" personId="{3C9F2DA4-1AC7-4AD9-99C5-41BB412782DC}" id="{246BB711-FE01-4670-8060-3C7074D3D86D}">
    <text>Seasonal</text>
  </threadedComment>
  <threadedComment ref="G27" dT="2020-10-02T15:41:32.80" personId="{3C9F2DA4-1AC7-4AD9-99C5-41BB412782DC}" id="{70E535FB-A7B8-449F-AFEC-0C36BDBFAB1E}">
    <text>Downward trend (reg based)</text>
  </threadedComment>
  <threadedComment ref="G28" dT="2020-10-02T15:41:32.80" personId="{3C9F2DA4-1AC7-4AD9-99C5-41BB412782DC}" id="{9674AAF6-49FA-44CF-9D1D-DD9EF1FE7E30}">
    <text>Downward trend (reg based)</text>
  </threadedComment>
  <threadedComment ref="G30" dT="2020-10-02T15:34:22.31" personId="{3C9F2DA4-1AC7-4AD9-99C5-41BB412782DC}" id="{F1BE4931-D52D-473C-AA2B-877A9F68EE16}">
    <text>Seasonal</text>
  </threadedComment>
  <threadedComment ref="D32" dT="2020-10-02T15:56:27.30" personId="{3C9F2DA4-1AC7-4AD9-99C5-41BB412782DC}" id="{88CF9FD9-2CC1-4AD7-B13B-A23BD2FE9D71}">
    <text>Reg based</text>
  </threadedComment>
  <threadedComment ref="E32" dT="2020-10-02T15:56:44.66" personId="{3C9F2DA4-1AC7-4AD9-99C5-41BB412782DC}" id="{992DBE07-C4B9-49E1-8292-EAA1F4B3E0C9}">
    <text>Bad fit so assume last period historicals</text>
  </threadedComment>
  <threadedComment ref="F32" dT="2020-10-02T15:56:44.66" personId="{3C9F2DA4-1AC7-4AD9-99C5-41BB412782DC}" id="{F31F2C4C-423F-4B67-8AA1-5E40A98F03AE}">
    <text>Bad fit so assume last period historicals</text>
  </threadedComment>
  <threadedComment ref="G32" dT="2020-10-02T15:56:44.66" personId="{3C9F2DA4-1AC7-4AD9-99C5-41BB412782DC}" id="{40257547-D35F-422E-9386-A356DDB844BF}">
    <text>Bad fit so assume last period historicals</text>
  </threadedComment>
  <threadedComment ref="L81" dT="2020-10-02T15:49:53.16" personId="{3C9F2DA4-1AC7-4AD9-99C5-41BB412782DC}" id="{056E3BA4-3A12-4609-BEA0-CA8507AA9164}">
    <text>Jump in quarter - look into</text>
  </threadedComment>
  <threadedComment ref="L84" dT="2020-10-02T15:49:58.80" personId="{3C9F2DA4-1AC7-4AD9-99C5-41BB412782DC}" id="{30F17ACA-2CE8-4837-98C0-0763C6483CDE}">
    <text>Jump in quarter - look into</text>
  </threadedComment>
  <threadedComment ref="B85" dT="2020-10-02T16:38:01.12" personId="{3C9F2DA4-1AC7-4AD9-99C5-41BB412782DC}" id="{89C65E53-0BD4-4485-A9D4-7AC867DB7FF3}">
    <text>PLUG</text>
  </threadedComment>
  <threadedComment ref="B96" dT="2020-10-02T16:40:22.62" personId="{3C9F2DA4-1AC7-4AD9-99C5-41BB412782DC}" id="{197DBEB0-5EDC-4C78-A2EA-675DCFF28F08}">
    <text>CHECK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9" dT="2020-10-02T17:20:31.57" personId="{3C9F2DA4-1AC7-4AD9-99C5-41BB412782DC}" id="{5BE77DE2-F738-4930-A551-F53AED04E6E9}">
    <text>Sporadic, so avg</text>
  </threadedComment>
  <threadedComment ref="G10" dT="2020-10-02T17:20:31.57" personId="{3C9F2DA4-1AC7-4AD9-99C5-41BB412782DC}" id="{A36EE150-2F15-431D-B124-9E2B4733DB91}">
    <text>Sporadic, so avg</text>
  </threadedComment>
  <threadedComment ref="G11" dT="2020-10-02T17:20:31.57" personId="{3C9F2DA4-1AC7-4AD9-99C5-41BB412782DC}" id="{23E231CD-AB35-4A4A-AA9F-97598623F792}">
    <text>Sporadic, so avg</text>
  </threadedComment>
  <threadedComment ref="G12" dT="2020-10-02T15:41:32.80" personId="{3C9F2DA4-1AC7-4AD9-99C5-41BB412782DC}" id="{55CAA348-6908-409A-A3E0-FF0176208496}">
    <text>Downward trend (reg based)</text>
  </threadedComment>
  <threadedComment ref="G13" dT="2020-10-02T15:41:32.80" personId="{3C9F2DA4-1AC7-4AD9-99C5-41BB412782DC}" id="{6C2CE38A-EA8E-439F-9F57-769C5A2027FA}">
    <text>Downward trend (reg based)</text>
  </threadedComment>
  <threadedComment ref="G14" dT="2020-10-02T15:41:32.80" personId="{3C9F2DA4-1AC7-4AD9-99C5-41BB412782DC}" id="{FC42A5F0-AE70-4590-97F7-44963645FBAF}">
    <text>Downward trend (reg based)</text>
  </threadedComment>
  <threadedComment ref="G22" dT="2020-10-02T17:49:49.90" personId="{3C9F2DA4-1AC7-4AD9-99C5-41BB412782DC}" id="{030917F3-34E7-4593-970C-368C9C2E84AB}">
    <text>Omit goodwill tax break</text>
  </threadedComment>
  <threadedComment ref="G31" dT="2020-10-02T18:25:47.26" personId="{3C9F2DA4-1AC7-4AD9-99C5-41BB412782DC}" id="{C2F99616-7297-4403-BC8E-C1A649438201}">
    <text>Steady upward trend</text>
  </threadedComment>
  <threadedComment ref="G33" dT="2020-10-02T18:25:10.18" personId="{3C9F2DA4-1AC7-4AD9-99C5-41BB412782DC}" id="{2ED11B26-552E-4024-945D-A07420B463A9}">
    <text>stagnates</text>
  </threadedComment>
  <threadedComment ref="G35" dT="2020-10-02T18:25:29.37" personId="{3C9F2DA4-1AC7-4AD9-99C5-41BB412782DC}" id="{0F1F3FD0-4041-4F5A-8944-6EE434614986}">
    <text>Jumps</text>
  </threadedComment>
  <threadedComment ref="G36" dT="2020-10-02T18:25:47.26" personId="{3C9F2DA4-1AC7-4AD9-99C5-41BB412782DC}" id="{F17D49FD-3479-4045-98B3-E763CC6E10AC}">
    <text>Steady upward trend</text>
  </threadedComment>
  <threadedComment ref="G37" dT="2020-10-02T18:25:47.26" personId="{3C9F2DA4-1AC7-4AD9-99C5-41BB412782DC}" id="{7CCB1063-6CEB-45AF-B8EC-9E5B10D0EC52}">
    <text>Steady upward trend</text>
  </threadedComment>
  <threadedComment ref="G39" dT="2020-10-02T18:25:47.26" personId="{3C9F2DA4-1AC7-4AD9-99C5-41BB412782DC}" id="{F7317977-55C9-450B-B007-56021A9C669B}">
    <text>Steady upward trend</text>
  </threadedComment>
  <threadedComment ref="G42" dT="2020-10-02T18:25:47.26" personId="{3C9F2DA4-1AC7-4AD9-99C5-41BB412782DC}" id="{C82F80C4-3F3E-4B4F-9E6E-9F97E718168B}">
    <text>Steady upward trend</text>
  </threadedComment>
  <threadedComment ref="G43" dT="2020-10-02T18:25:47.26" personId="{3C9F2DA4-1AC7-4AD9-99C5-41BB412782DC}" id="{8F22001C-39EC-4C2A-A30C-1FFFFC3FFDAE}">
    <text>Steady upward trend</text>
  </threadedComment>
  <threadedComment ref="G44" dT="2020-10-02T18:25:47.26" personId="{3C9F2DA4-1AC7-4AD9-99C5-41BB412782DC}" id="{BA44BEB3-7656-4A73-9C4F-7FD5D1F61F05}">
    <text>Steady upward trend</text>
  </threadedComment>
  <threadedComment ref="M73" dT="2020-10-02T17:37:25.45" personId="{3C9F2DA4-1AC7-4AD9-99C5-41BB412782DC}" id="{82710FD0-642B-4AA2-9FD6-3D7124EB0692}">
    <text>Different formula</text>
  </threadedComment>
  <threadedComment ref="T119" dT="2020-10-02T17:59:46.45" personId="{3C9F2DA4-1AC7-4AD9-99C5-41BB412782DC}" id="{88833CD6-D850-44CC-90D3-4D6E9C16F7EE}">
    <text>Data not provided</text>
  </threadedComment>
  <threadedComment ref="B120" dT="2020-10-02T18:50:11.62" personId="{3C9F2DA4-1AC7-4AD9-99C5-41BB412782DC}" id="{D60A9813-5912-4BA9-8024-E4C5D7B373F8}">
    <text>See if one timer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8" dT="2020-10-03T15:45:43.35" personId="{3C9F2DA4-1AC7-4AD9-99C5-41BB412782DC}" id="{229F3DC6-13BC-4F5C-8F29-0E1B3BDF113E}">
    <text>If TRUE, average of past most recent twp quarters</text>
  </threadedComment>
  <threadedComment ref="B11" dT="2020-10-03T15:42:49.80" personId="{3C9F2DA4-1AC7-4AD9-99C5-41BB412782DC}" id="{AF9375CC-CCA7-494A-A197-D702C9796148}">
    <text>LOOK INTO</text>
  </threadedComment>
  <threadedComment ref="B12" dT="2020-10-03T15:42:49.80" personId="{3C9F2DA4-1AC7-4AD9-99C5-41BB412782DC}" id="{EF91E9BF-55F3-4BDD-BBD5-073B16933490}">
    <text>LOOK INTO</text>
  </threadedComment>
  <threadedComment ref="B41" dT="2020-10-03T15:36:30.64" personId="{3C9F2DA4-1AC7-4AD9-99C5-41BB412782DC}" id="{D96988CD-4266-41E7-8D76-50FBB89A5783}">
    <text>Zeroed out because of how it appears on original IS</text>
  </threadedComment>
  <threadedComment ref="B64" dT="2020-10-03T16:23:20.77" personId="{3C9F2DA4-1AC7-4AD9-99C5-41BB412782DC}" id="{5D8D4173-85C6-4F37-A36A-41AD66966C44}">
    <text>This is a plug number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8" dT="2020-10-03T15:45:43.35" personId="{3C9F2DA4-1AC7-4AD9-99C5-41BB412782DC}" id="{E9CABDA6-BB1F-4468-BEED-21E2FF881C19}">
    <text>If TRUE, average of past most recent twp quarters</text>
  </threadedComment>
  <threadedComment ref="F33" dT="2020-10-03T17:45:58.21" personId="{3C9F2DA4-1AC7-4AD9-99C5-41BB412782DC}" id="{808A2FF0-2B39-4B27-8531-09BFA85161E1}">
    <text>Set int as last period</text>
  </threadedComment>
  <threadedComment ref="G33" dT="2020-10-03T17:45:58.21" personId="{3C9F2DA4-1AC7-4AD9-99C5-41BB412782DC}" id="{87BDFBC0-6EAD-4271-BE3F-A2727BF0CE63}">
    <text>Set int as last period</text>
  </threadedComment>
  <threadedComment ref="B65" dT="2020-10-03T18:09:13.24" personId="{3C9F2DA4-1AC7-4AD9-99C5-41BB412782DC}" id="{F36F645B-195F-4157-B606-827CA96D0B16}">
    <text>Assumed anomaly in Jun-20. Seek further clarification to make sure this is not expected in the future.</text>
  </threadedComment>
  <threadedComment ref="B118" dT="2020-10-03T18:06:08.72" personId="{3C9F2DA4-1AC7-4AD9-99C5-41BB412782DC}" id="{48EA332B-DB38-454C-AB7D-04FC441D1846}">
    <text>Total assets used as plug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8" dT="2020-10-03T15:45:43.35" personId="{3C9F2DA4-1AC7-4AD9-99C5-41BB412782DC}" id="{029E3889-785A-407F-95F1-A00576DE6B65}">
    <text>If TRUE, average of past most recent twp quarters</text>
  </threadedComment>
  <threadedComment ref="AI12" dT="2020-10-04T15:50:31.21" personId="{3C9F2DA4-1AC7-4AD9-99C5-41BB412782DC}" id="{96841365-FC2A-4D00-B280-EE1FAD203BF8}">
    <text>Estimating the trend you see on the graph</text>
  </threadedComment>
  <threadedComment ref="D13" dT="2020-10-04T15:12:18.85" personId="{3C9F2DA4-1AC7-4AD9-99C5-41BB412782DC}" id="{CAA5CA6B-B0B0-4941-BD3D-4317F7BE2A81}">
    <text>Potentially change due to covid</text>
  </threadedComment>
  <threadedComment ref="E13" dT="2020-10-04T15:12:18.85" personId="{3C9F2DA4-1AC7-4AD9-99C5-41BB412782DC}" id="{89418B02-3FA7-435E-8B86-35EF8084813E}">
    <text>Potentially change due to covid</text>
  </threadedComment>
  <threadedComment ref="G13" dT="2020-10-04T15:11:58.58" personId="{3C9F2DA4-1AC7-4AD9-99C5-41BB412782DC}" id="{17356F9D-1830-4216-A819-F5327FF6A948}">
    <text>Seasonal</text>
  </threadedComment>
  <threadedComment ref="D14" dT="2020-10-04T15:12:18.85" personId="{3C9F2DA4-1AC7-4AD9-99C5-41BB412782DC}" id="{007EED60-0642-4116-B6A6-A8A828B07175}">
    <text>Potentially change due to covid</text>
  </threadedComment>
  <threadedComment ref="E14" dT="2020-10-04T15:12:18.85" personId="{3C9F2DA4-1AC7-4AD9-99C5-41BB412782DC}" id="{A08F6883-502A-405C-8B3F-AB28D071CDEE}">
    <text>Potentially change due to covid</text>
  </threadedComment>
  <threadedComment ref="G14" dT="2020-10-04T15:11:58.58" personId="{3C9F2DA4-1AC7-4AD9-99C5-41BB412782DC}" id="{0AE913A7-883E-436B-8143-9F09958A2322}">
    <text>Seasonal</text>
  </threadedComment>
  <threadedComment ref="G18" dT="2020-10-04T15:23:39.23" personId="{3C9F2DA4-1AC7-4AD9-99C5-41BB412782DC}" id="{74D7A868-7E48-4623-8097-B23BFACBC8F6}">
    <text>Seasonal</text>
  </threadedComment>
  <threadedComment ref="G19" dT="2020-10-04T15:23:39.23" personId="{3C9F2DA4-1AC7-4AD9-99C5-41BB412782DC}" id="{F2186B3F-B569-4476-B58F-91454A0A8E26}">
    <text>Seasonal</text>
  </threadedComment>
  <threadedComment ref="W19" dT="2020-10-04T15:25:11.91" personId="{3C9F2DA4-1AC7-4AD9-99C5-41BB412782DC}" id="{5ADE6CEC-5BD0-4FBC-9DB1-833FF56A51E2}">
    <text>Unused, only observed</text>
  </threadedComment>
  <threadedComment ref="G20" dT="2020-10-04T15:23:39.23" personId="{3C9F2DA4-1AC7-4AD9-99C5-41BB412782DC}" id="{91EE1EE3-F236-49E3-AD33-E3DA29F187F2}">
    <text>Seasonal</text>
  </threadedComment>
  <threadedComment ref="W20" dT="2020-10-04T15:25:11.91" personId="{3C9F2DA4-1AC7-4AD9-99C5-41BB412782DC}" id="{545CA9D6-00BA-4DA6-8B0E-50C1A521C992}">
    <text>Unused, only observed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F8" dT="2020-10-03T15:45:43.35" personId="{3C9F2DA4-1AC7-4AD9-99C5-41BB412782DC}" id="{30E59F61-27F1-4943-885E-602BD121FC3B}">
    <text>If TRUE, average of past most recent twp quarters</text>
  </threadedComment>
  <threadedComment ref="B33" dT="2020-10-04T16:27:52.76" personId="{3C9F2DA4-1AC7-4AD9-99C5-41BB412782DC}" id="{542B3F8A-93B3-4FC0-89C1-D8EA97134057}">
    <text>Sporadic, held random for now - check to see cause</text>
  </threadedComment>
  <threadedComment ref="B35" dT="2020-10-04T16:33:34.91" personId="{3C9F2DA4-1AC7-4AD9-99C5-41BB412782DC}" id="{D1F617E3-DF23-482E-93E0-3DF652B4FF75}">
    <text>Random prob</text>
  </threadedComment>
  <threadedComment ref="B37" dT="2020-10-04T16:33:28.85" personId="{3C9F2DA4-1AC7-4AD9-99C5-41BB412782DC}" id="{7C5A2605-6A45-46B0-8D43-BE88D6B49348}">
    <text>Random</text>
  </threadedComment>
  <threadedComment ref="B37" dT="2020-10-04T16:33:53.21" personId="{3C9F2DA4-1AC7-4AD9-99C5-41BB412782DC}" id="{FC3C92F7-9DB6-442E-BD18-ACB1F71C8D24}" parentId="{7C5A2605-6A45-46B0-8D43-BE88D6B49348}">
    <text>Because there is no short term investments in CA</text>
  </threadedComment>
  <threadedComment ref="B108" dT="2020-10-04T16:53:48.90" personId="{3C9F2DA4-1AC7-4AD9-99C5-41BB412782DC}" id="{F2BBD9E7-CED1-4CB2-9D91-CE90F07C8576}">
    <text>Plug</text>
  </threadedComment>
  <threadedComment ref="B115" dT="2020-10-04T16:40:14.80" personId="{3C9F2DA4-1AC7-4AD9-99C5-41BB412782DC}" id="{9E7D0435-B732-40F8-B29D-CCE7A3C8127E}">
    <text>See why stopped</text>
  </threadedComment>
  <threadedComment ref="B116" dT="2020-10-04T16:40:19.62" personId="{3C9F2DA4-1AC7-4AD9-99C5-41BB412782DC}" id="{B39B7572-E8FF-4A6C-BE68-176775DEF58A}">
    <text>See why stopped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H172"/>
  <sheetViews>
    <sheetView workbookViewId="0"/>
  </sheetViews>
  <sheetFormatPr defaultRowHeight="14.4" outlineLevelCol="1" x14ac:dyDescent="0.3"/>
  <cols>
    <col min="1" max="1" width="2.6640625" customWidth="1"/>
    <col min="2" max="2" width="16.6640625" customWidth="1"/>
    <col min="3" max="3" width="14.6640625" customWidth="1"/>
    <col min="4" max="5" width="14.6640625" hidden="1" customWidth="1" outlineLevel="1"/>
    <col min="6" max="6" width="14.6640625" customWidth="1" collapsed="1"/>
    <col min="7" max="8" width="14.6640625" customWidth="1"/>
    <col min="9" max="9" width="14.109375" bestFit="1" customWidth="1"/>
  </cols>
  <sheetData>
    <row r="1" spans="2:8" ht="6.9" customHeight="1" x14ac:dyDescent="0.3"/>
    <row r="2" spans="2:8" x14ac:dyDescent="0.3">
      <c r="C2" s="22" t="s">
        <v>0</v>
      </c>
      <c r="F2" s="10">
        <f>AVERAGE(F16:F172)</f>
        <v>9.1891173753042725</v>
      </c>
      <c r="G2" s="11">
        <f>AVERAGE(G16:G172)</f>
        <v>3.75604860691893E-8</v>
      </c>
    </row>
    <row r="3" spans="2:8" x14ac:dyDescent="0.3">
      <c r="C3" s="22" t="s">
        <v>1</v>
      </c>
      <c r="F3" s="10">
        <f>_xlfn.STDEV.S(F16:F172)</f>
        <v>77.048569338469107</v>
      </c>
      <c r="G3" s="11">
        <f>_xlfn.STDEV.S(G16:G172)</f>
        <v>2.2663798410295309E-7</v>
      </c>
    </row>
    <row r="4" spans="2:8" x14ac:dyDescent="0.3">
      <c r="C4" s="22" t="s">
        <v>2</v>
      </c>
      <c r="F4" s="10">
        <f>MAX(F16:F172)</f>
        <v>275.85185185185099</v>
      </c>
      <c r="G4" s="11">
        <f>MAX(G16:G172)</f>
        <v>2.8376667728554602E-6</v>
      </c>
    </row>
    <row r="5" spans="2:8" s="3" customFormat="1" x14ac:dyDescent="0.3">
      <c r="B5"/>
      <c r="C5" s="23" t="s">
        <v>3</v>
      </c>
      <c r="F5" s="12"/>
      <c r="G5" s="11">
        <f>_xlfn.QUARTILE.INC(G16:G172,3)</f>
        <v>2.9568569931963799E-8</v>
      </c>
    </row>
    <row r="6" spans="2:8" s="3" customFormat="1" x14ac:dyDescent="0.3">
      <c r="B6"/>
      <c r="C6" s="23" t="s">
        <v>4</v>
      </c>
      <c r="D6"/>
      <c r="E6"/>
      <c r="F6" s="10">
        <f>SMALL(F16:F172, 1)</f>
        <v>-762</v>
      </c>
      <c r="G6" s="11">
        <f t="shared" ref="G6" si="0">SMALL(G16:G172, 1)</f>
        <v>-7.9170385913617804E-8</v>
      </c>
    </row>
    <row r="7" spans="2:8" ht="6.9" customHeight="1" x14ac:dyDescent="0.3"/>
    <row r="8" spans="2:8" ht="43.2" x14ac:dyDescent="0.3"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2:8" hidden="1" x14ac:dyDescent="0.3">
      <c r="B9" t="s">
        <v>12</v>
      </c>
      <c r="C9" t="s">
        <v>13</v>
      </c>
      <c r="D9" t="s">
        <v>12</v>
      </c>
      <c r="E9" t="s">
        <v>12</v>
      </c>
      <c r="F9" t="s">
        <v>12</v>
      </c>
      <c r="G9" t="s">
        <v>12</v>
      </c>
    </row>
    <row r="10" spans="2:8" hidden="1" x14ac:dyDescent="0.3">
      <c r="B10" s="1">
        <v>44091.666666666664</v>
      </c>
      <c r="C10" t="s">
        <v>14</v>
      </c>
      <c r="D10" t="s">
        <v>12</v>
      </c>
      <c r="E10" t="s">
        <v>12</v>
      </c>
      <c r="F10" t="s">
        <v>12</v>
      </c>
      <c r="G10" t="s">
        <v>12</v>
      </c>
    </row>
    <row r="11" spans="2:8" hidden="1" x14ac:dyDescent="0.3">
      <c r="B11" s="1">
        <v>44091.666678240741</v>
      </c>
      <c r="C11" t="s">
        <v>15</v>
      </c>
      <c r="D11" t="s">
        <v>12</v>
      </c>
      <c r="E11" t="s">
        <v>12</v>
      </c>
      <c r="F11" t="s">
        <v>12</v>
      </c>
      <c r="G11" t="s">
        <v>12</v>
      </c>
    </row>
    <row r="12" spans="2:8" hidden="1" x14ac:dyDescent="0.3">
      <c r="B12" s="1">
        <v>44091.666678240741</v>
      </c>
      <c r="C12" t="s">
        <v>16</v>
      </c>
      <c r="D12" t="s">
        <v>12</v>
      </c>
      <c r="E12" t="s">
        <v>12</v>
      </c>
      <c r="F12" t="s">
        <v>12</v>
      </c>
      <c r="G12" t="s">
        <v>12</v>
      </c>
    </row>
    <row r="13" spans="2:8" hidden="1" x14ac:dyDescent="0.3">
      <c r="B13" s="1">
        <v>44091.666678240741</v>
      </c>
      <c r="C13" t="s">
        <v>17</v>
      </c>
      <c r="D13" t="s">
        <v>12</v>
      </c>
      <c r="E13" t="s">
        <v>12</v>
      </c>
      <c r="F13" t="s">
        <v>12</v>
      </c>
      <c r="G13" t="s">
        <v>12</v>
      </c>
    </row>
    <row r="14" spans="2:8" hidden="1" x14ac:dyDescent="0.3">
      <c r="B14" s="1">
        <v>44091.666678240741</v>
      </c>
      <c r="C14" t="s">
        <v>18</v>
      </c>
      <c r="D14" t="s">
        <v>12</v>
      </c>
      <c r="E14" t="s">
        <v>12</v>
      </c>
      <c r="F14" t="s">
        <v>12</v>
      </c>
      <c r="G14" t="s">
        <v>12</v>
      </c>
    </row>
    <row r="15" spans="2:8" hidden="1" x14ac:dyDescent="0.3">
      <c r="B15" s="1">
        <v>44091.666678240741</v>
      </c>
      <c r="C15" t="s">
        <v>19</v>
      </c>
      <c r="D15" t="s">
        <v>12</v>
      </c>
      <c r="E15" t="s">
        <v>12</v>
      </c>
      <c r="F15" t="s">
        <v>12</v>
      </c>
      <c r="G15" t="s">
        <v>12</v>
      </c>
    </row>
    <row r="16" spans="2:8" x14ac:dyDescent="0.3">
      <c r="B16" s="13">
        <v>44091.66747685185</v>
      </c>
      <c r="C16" s="8" t="s">
        <v>20</v>
      </c>
      <c r="D16" t="s">
        <v>12</v>
      </c>
      <c r="E16">
        <v>-4.6777163904235701</v>
      </c>
      <c r="F16" s="8">
        <v>-762</v>
      </c>
      <c r="G16" s="18">
        <v>6.1789138505035604E-9</v>
      </c>
      <c r="H16" s="8" t="b">
        <f t="shared" ref="H16:H47" si="1">G16 &gt;$G$5</f>
        <v>0</v>
      </c>
    </row>
    <row r="17" spans="2:8" x14ac:dyDescent="0.3">
      <c r="B17" s="13">
        <v>44091.666678240741</v>
      </c>
      <c r="C17" s="8" t="s">
        <v>21</v>
      </c>
      <c r="D17" t="s">
        <v>12</v>
      </c>
      <c r="E17">
        <v>-8.4854464726196301</v>
      </c>
      <c r="F17" s="8">
        <v>-191.111111111111</v>
      </c>
      <c r="G17" s="18">
        <v>7.8649946877082906E-8</v>
      </c>
      <c r="H17" s="8" t="b">
        <f t="shared" si="1"/>
        <v>1</v>
      </c>
    </row>
    <row r="18" spans="2:8" x14ac:dyDescent="0.3">
      <c r="B18" s="13">
        <v>44091.666689814818</v>
      </c>
      <c r="C18" s="8" t="s">
        <v>22</v>
      </c>
      <c r="D18" t="s">
        <v>12</v>
      </c>
      <c r="E18">
        <v>-185.92105263157799</v>
      </c>
      <c r="F18" s="8">
        <v>-176.625</v>
      </c>
      <c r="G18" s="18">
        <v>1.41547076523343E-9</v>
      </c>
      <c r="H18" s="8" t="b">
        <f t="shared" si="1"/>
        <v>0</v>
      </c>
    </row>
    <row r="19" spans="2:8" x14ac:dyDescent="0.3">
      <c r="B19" s="13">
        <v>44091.666678240741</v>
      </c>
      <c r="C19" s="8" t="s">
        <v>23</v>
      </c>
      <c r="D19" t="s">
        <v>12</v>
      </c>
      <c r="E19">
        <v>-13.6280487804878</v>
      </c>
      <c r="F19" s="8">
        <v>-92.482758620689594</v>
      </c>
      <c r="G19" s="18">
        <v>-2.67735889475714E-10</v>
      </c>
      <c r="H19" s="8" t="b">
        <f t="shared" si="1"/>
        <v>0</v>
      </c>
    </row>
    <row r="20" spans="2:8" x14ac:dyDescent="0.3">
      <c r="B20" s="13">
        <v>44091.666678240741</v>
      </c>
      <c r="C20" s="8" t="s">
        <v>24</v>
      </c>
      <c r="D20" t="s">
        <v>12</v>
      </c>
      <c r="E20">
        <v>-1.9944979367262701</v>
      </c>
      <c r="F20" s="8">
        <v>-90.625</v>
      </c>
      <c r="G20" s="18">
        <v>9.2166521022821308E-9</v>
      </c>
      <c r="H20" s="8" t="b">
        <f t="shared" si="1"/>
        <v>0</v>
      </c>
    </row>
    <row r="21" spans="2:8" x14ac:dyDescent="0.3">
      <c r="B21" s="13">
        <v>44091.666678240741</v>
      </c>
      <c r="C21" s="8" t="s">
        <v>25</v>
      </c>
      <c r="D21" t="s">
        <v>12</v>
      </c>
      <c r="E21">
        <v>-2.90402897238569</v>
      </c>
      <c r="F21" s="8">
        <v>-80.1875</v>
      </c>
      <c r="G21" s="18">
        <v>7.3216818015912098E-9</v>
      </c>
      <c r="H21" s="8" t="b">
        <f t="shared" si="1"/>
        <v>0</v>
      </c>
    </row>
    <row r="22" spans="2:8" x14ac:dyDescent="0.3">
      <c r="B22" s="13">
        <v>44091.666689814818</v>
      </c>
      <c r="C22" s="8" t="s">
        <v>26</v>
      </c>
      <c r="D22" t="s">
        <v>12</v>
      </c>
      <c r="E22">
        <v>-1.77070583435332</v>
      </c>
      <c r="F22" s="8">
        <v>-66.769230769230703</v>
      </c>
      <c r="G22" s="18">
        <v>9.0127100730438196E-9</v>
      </c>
      <c r="H22" s="8" t="b">
        <f t="shared" si="1"/>
        <v>0</v>
      </c>
    </row>
    <row r="23" spans="2:8" x14ac:dyDescent="0.3">
      <c r="B23" s="13">
        <v>44091.666678240741</v>
      </c>
      <c r="C23" s="8" t="s">
        <v>27</v>
      </c>
      <c r="D23" t="s">
        <v>12</v>
      </c>
      <c r="E23">
        <v>-11.682692307692299</v>
      </c>
      <c r="F23" s="8">
        <v>-38.368421052631497</v>
      </c>
      <c r="G23" s="18">
        <v>4.4747692832395304E-9</v>
      </c>
      <c r="H23" s="8" t="b">
        <f t="shared" si="1"/>
        <v>0</v>
      </c>
    </row>
    <row r="24" spans="2:8" x14ac:dyDescent="0.3">
      <c r="B24" s="13">
        <v>44091.666689814818</v>
      </c>
      <c r="C24" s="8" t="s">
        <v>28</v>
      </c>
      <c r="D24" t="s">
        <v>12</v>
      </c>
      <c r="E24">
        <v>-17.383467992541899</v>
      </c>
      <c r="F24" s="8">
        <v>-31.077777777777701</v>
      </c>
      <c r="G24" s="18">
        <v>1.8405863857546101E-9</v>
      </c>
      <c r="H24" s="8" t="b">
        <f t="shared" si="1"/>
        <v>0</v>
      </c>
    </row>
    <row r="25" spans="2:8" x14ac:dyDescent="0.3">
      <c r="B25" s="13">
        <v>44091.666678240741</v>
      </c>
      <c r="C25" s="8" t="s">
        <v>29</v>
      </c>
      <c r="D25" t="s">
        <v>12</v>
      </c>
      <c r="E25">
        <v>-14.9555099247091</v>
      </c>
      <c r="F25" s="8">
        <v>-30.774647887323901</v>
      </c>
      <c r="G25" s="18">
        <v>6.9142193907294799E-11</v>
      </c>
      <c r="H25" s="8" t="b">
        <f t="shared" si="1"/>
        <v>0</v>
      </c>
    </row>
    <row r="26" spans="2:8" x14ac:dyDescent="0.3">
      <c r="B26" s="13">
        <v>44091.666689814818</v>
      </c>
      <c r="C26" s="8" t="s">
        <v>30</v>
      </c>
      <c r="D26" t="s">
        <v>12</v>
      </c>
      <c r="E26">
        <v>-0.41548571042952998</v>
      </c>
      <c r="F26" s="8">
        <v>-13.222818791946301</v>
      </c>
      <c r="G26" s="18">
        <v>2.8376667728554602E-6</v>
      </c>
      <c r="H26" s="8" t="b">
        <f t="shared" si="1"/>
        <v>1</v>
      </c>
    </row>
    <row r="27" spans="2:8" x14ac:dyDescent="0.3">
      <c r="B27" s="13">
        <v>44091.666678240741</v>
      </c>
      <c r="C27" s="8" t="s">
        <v>31</v>
      </c>
      <c r="D27" t="s">
        <v>12</v>
      </c>
      <c r="E27">
        <v>-0.56741028128031001</v>
      </c>
      <c r="F27" s="8">
        <v>-11.7</v>
      </c>
      <c r="G27" s="18">
        <v>1.7973153277373999E-8</v>
      </c>
      <c r="H27" s="8" t="b">
        <f t="shared" si="1"/>
        <v>0</v>
      </c>
    </row>
    <row r="28" spans="2:8" x14ac:dyDescent="0.3">
      <c r="B28" s="13">
        <v>44091.666689814818</v>
      </c>
      <c r="C28" s="8" t="s">
        <v>32</v>
      </c>
      <c r="D28" t="s">
        <v>12</v>
      </c>
      <c r="E28">
        <v>-2.9254509889154501</v>
      </c>
      <c r="F28" s="8">
        <v>-10.274809160305299</v>
      </c>
      <c r="G28" s="18">
        <v>1.7677239270633899E-8</v>
      </c>
      <c r="H28" s="8" t="b">
        <f t="shared" si="1"/>
        <v>0</v>
      </c>
    </row>
    <row r="29" spans="2:8" x14ac:dyDescent="0.3">
      <c r="B29" s="13">
        <v>44091.666678240741</v>
      </c>
      <c r="C29" s="8" t="s">
        <v>33</v>
      </c>
      <c r="D29" t="s">
        <v>12</v>
      </c>
      <c r="E29">
        <v>-0.80626671761558999</v>
      </c>
      <c r="F29" s="8">
        <v>-9.6535947712418295</v>
      </c>
      <c r="G29" s="18">
        <v>4.5157605505289798E-8</v>
      </c>
      <c r="H29" s="8" t="b">
        <f t="shared" si="1"/>
        <v>1</v>
      </c>
    </row>
    <row r="30" spans="2:8" x14ac:dyDescent="0.3">
      <c r="B30" s="13">
        <v>44091.666689814818</v>
      </c>
      <c r="C30" s="8" t="s">
        <v>34</v>
      </c>
      <c r="D30" t="s">
        <v>12</v>
      </c>
      <c r="E30">
        <v>-0.150716104392106</v>
      </c>
      <c r="F30" s="8">
        <v>-7.8925000000000001</v>
      </c>
      <c r="G30" s="18">
        <v>3.6457835465280398E-8</v>
      </c>
      <c r="H30" s="8" t="b">
        <f t="shared" si="1"/>
        <v>1</v>
      </c>
    </row>
    <row r="31" spans="2:8" x14ac:dyDescent="0.3">
      <c r="B31" s="13">
        <v>44091.666678240741</v>
      </c>
      <c r="C31" s="8" t="s">
        <v>35</v>
      </c>
      <c r="D31" t="s">
        <v>12</v>
      </c>
      <c r="E31">
        <v>-3.03879310344827</v>
      </c>
      <c r="F31" s="8">
        <v>-7.4210526315789398</v>
      </c>
      <c r="G31" s="18">
        <v>1.8503830048402599E-8</v>
      </c>
      <c r="H31" s="8" t="b">
        <f t="shared" si="1"/>
        <v>0</v>
      </c>
    </row>
    <row r="32" spans="2:8" x14ac:dyDescent="0.3">
      <c r="B32" s="13">
        <v>44091.666689814818</v>
      </c>
      <c r="C32" s="8" t="s">
        <v>36</v>
      </c>
      <c r="D32" t="s">
        <v>12</v>
      </c>
      <c r="E32">
        <v>-0.80117114719190796</v>
      </c>
      <c r="F32" s="8">
        <v>-5.0166666666666604</v>
      </c>
      <c r="G32" s="18">
        <v>1.2595554370468499E-7</v>
      </c>
      <c r="H32" s="8" t="b">
        <f t="shared" si="1"/>
        <v>1</v>
      </c>
    </row>
    <row r="33" spans="2:8" x14ac:dyDescent="0.3">
      <c r="B33" s="13">
        <v>44091.666678240741</v>
      </c>
      <c r="C33" s="8" t="s">
        <v>37</v>
      </c>
      <c r="D33" t="s">
        <v>12</v>
      </c>
      <c r="E33">
        <v>-153.75</v>
      </c>
      <c r="F33" s="8">
        <v>-4.7307692307692299</v>
      </c>
      <c r="G33" s="18">
        <v>8.7538690048167602E-9</v>
      </c>
      <c r="H33" s="8" t="b">
        <f t="shared" si="1"/>
        <v>0</v>
      </c>
    </row>
    <row r="34" spans="2:8" x14ac:dyDescent="0.3">
      <c r="B34" s="13">
        <v>44091.666689814818</v>
      </c>
      <c r="C34" s="8" t="s">
        <v>38</v>
      </c>
      <c r="D34" t="s">
        <v>12</v>
      </c>
      <c r="E34">
        <v>-2.53047011027278</v>
      </c>
      <c r="F34" s="8">
        <v>-4.2745098039215597</v>
      </c>
      <c r="G34" s="18">
        <v>1.34324230563663E-8</v>
      </c>
      <c r="H34" s="8" t="b">
        <f t="shared" si="1"/>
        <v>0</v>
      </c>
    </row>
    <row r="35" spans="2:8" x14ac:dyDescent="0.3">
      <c r="B35" s="13">
        <v>44091.666689814818</v>
      </c>
      <c r="C35" s="8" t="s">
        <v>39</v>
      </c>
      <c r="D35" t="s">
        <v>12</v>
      </c>
      <c r="E35">
        <v>-0.60747663551401798</v>
      </c>
      <c r="F35" s="8">
        <v>-2.9383561643835598</v>
      </c>
      <c r="G35" s="18">
        <v>5.8022499396936297E-9</v>
      </c>
      <c r="H35" s="8" t="b">
        <f t="shared" si="1"/>
        <v>0</v>
      </c>
    </row>
    <row r="36" spans="2:8" x14ac:dyDescent="0.3">
      <c r="B36" s="13">
        <v>44091.666689814818</v>
      </c>
      <c r="C36" s="8" t="s">
        <v>40</v>
      </c>
      <c r="D36">
        <v>10.750799000000001</v>
      </c>
      <c r="E36">
        <v>10.8413205537806</v>
      </c>
      <c r="F36" s="8">
        <v>4.9417475728155296</v>
      </c>
      <c r="G36" s="18">
        <v>-6.8806044037932097E-9</v>
      </c>
      <c r="H36" s="8" t="b">
        <f t="shared" si="1"/>
        <v>0</v>
      </c>
    </row>
    <row r="37" spans="2:8" x14ac:dyDescent="0.3">
      <c r="B37" s="13">
        <v>44091.666678240741</v>
      </c>
      <c r="C37" s="8" t="s">
        <v>41</v>
      </c>
      <c r="D37" t="s">
        <v>12</v>
      </c>
      <c r="E37">
        <v>-0.44507361268403101</v>
      </c>
      <c r="F37" s="8">
        <v>5.0709677419354797</v>
      </c>
      <c r="G37" s="18">
        <v>1.45403505037198E-9</v>
      </c>
      <c r="H37" s="8" t="b">
        <f t="shared" si="1"/>
        <v>0</v>
      </c>
    </row>
    <row r="38" spans="2:8" x14ac:dyDescent="0.3">
      <c r="B38" s="13">
        <v>44091.666689814818</v>
      </c>
      <c r="C38" s="8" t="s">
        <v>42</v>
      </c>
      <c r="D38">
        <v>11.459854</v>
      </c>
      <c r="E38">
        <v>11.324296141814299</v>
      </c>
      <c r="F38" s="8">
        <v>5.43</v>
      </c>
      <c r="G38" s="18">
        <v>-4.9667667829242695E-10</v>
      </c>
      <c r="H38" s="8" t="b">
        <f t="shared" si="1"/>
        <v>0</v>
      </c>
    </row>
    <row r="39" spans="2:8" x14ac:dyDescent="0.3">
      <c r="B39" s="13">
        <v>44091.666689814818</v>
      </c>
      <c r="C39" s="8" t="s">
        <v>43</v>
      </c>
      <c r="D39" t="s">
        <v>12</v>
      </c>
      <c r="E39">
        <v>-4.1668279465840898</v>
      </c>
      <c r="F39" s="8">
        <v>6.3323529411764703</v>
      </c>
      <c r="G39" s="18">
        <v>2.85055183788182E-8</v>
      </c>
      <c r="H39" s="8" t="b">
        <f t="shared" si="1"/>
        <v>0</v>
      </c>
    </row>
    <row r="40" spans="2:8" x14ac:dyDescent="0.3">
      <c r="B40" s="13">
        <v>44091.666689814818</v>
      </c>
      <c r="C40" s="8" t="s">
        <v>44</v>
      </c>
      <c r="D40" t="s">
        <v>12</v>
      </c>
      <c r="E40">
        <v>-16.819407008086198</v>
      </c>
      <c r="F40" s="8">
        <v>6.63829787234042</v>
      </c>
      <c r="G40" s="18">
        <v>2.9568569931963799E-8</v>
      </c>
      <c r="H40" s="8" t="b">
        <f t="shared" si="1"/>
        <v>0</v>
      </c>
    </row>
    <row r="41" spans="2:8" x14ac:dyDescent="0.3">
      <c r="B41" s="14">
        <v>44091.666689814818</v>
      </c>
      <c r="C41" s="15" t="s">
        <v>45</v>
      </c>
      <c r="D41" t="s">
        <v>12</v>
      </c>
      <c r="E41">
        <v>-6.4587973273942003</v>
      </c>
      <c r="F41" s="15">
        <v>6.6923076923076898</v>
      </c>
      <c r="G41" s="19">
        <v>5.7329122400642199E-8</v>
      </c>
      <c r="H41" s="15" t="b">
        <f t="shared" si="1"/>
        <v>1</v>
      </c>
    </row>
    <row r="42" spans="2:8" x14ac:dyDescent="0.3">
      <c r="B42" s="14">
        <v>44091.666678240741</v>
      </c>
      <c r="C42" s="15" t="s">
        <v>46</v>
      </c>
      <c r="D42">
        <v>11.722384</v>
      </c>
      <c r="E42">
        <v>11.613067242913401</v>
      </c>
      <c r="F42" s="15">
        <v>6.8128262490678599</v>
      </c>
      <c r="G42" s="19">
        <v>4.10695593879942E-8</v>
      </c>
      <c r="H42" s="15" t="b">
        <f t="shared" si="1"/>
        <v>1</v>
      </c>
    </row>
    <row r="43" spans="2:8" x14ac:dyDescent="0.3">
      <c r="B43" s="14">
        <v>44091.666678240741</v>
      </c>
      <c r="C43" s="15" t="s">
        <v>47</v>
      </c>
      <c r="D43">
        <v>10.773158</v>
      </c>
      <c r="E43">
        <v>10.9992706053975</v>
      </c>
      <c r="F43" s="15">
        <v>6.8858447488584398</v>
      </c>
      <c r="G43" s="19">
        <v>3.5834387966182203E-8</v>
      </c>
      <c r="H43" s="15" t="b">
        <f t="shared" si="1"/>
        <v>1</v>
      </c>
    </row>
    <row r="44" spans="2:8" x14ac:dyDescent="0.3">
      <c r="B44" s="13">
        <v>44091.666689814818</v>
      </c>
      <c r="C44" s="8" t="s">
        <v>48</v>
      </c>
      <c r="D44" t="s">
        <v>12</v>
      </c>
      <c r="E44">
        <v>-1.24406142967627</v>
      </c>
      <c r="F44" s="8">
        <v>6.95061728395061</v>
      </c>
      <c r="G44" s="18">
        <v>1.5448883932007899E-8</v>
      </c>
      <c r="H44" s="20" t="b">
        <f t="shared" si="1"/>
        <v>0</v>
      </c>
    </row>
    <row r="45" spans="2:8" x14ac:dyDescent="0.3">
      <c r="B45" s="16">
        <v>44091.666678240741</v>
      </c>
      <c r="C45" s="17" t="s">
        <v>49</v>
      </c>
      <c r="D45">
        <v>7.776421</v>
      </c>
      <c r="E45">
        <v>8.0136030694105305</v>
      </c>
      <c r="F45" s="17">
        <v>7.1130030959752304</v>
      </c>
      <c r="G45" s="21">
        <v>3.0124316495986098E-8</v>
      </c>
      <c r="H45" s="17" t="b">
        <f t="shared" si="1"/>
        <v>1</v>
      </c>
    </row>
    <row r="46" spans="2:8" x14ac:dyDescent="0.3">
      <c r="B46" s="13">
        <v>44091.666689814818</v>
      </c>
      <c r="C46" s="8" t="s">
        <v>50</v>
      </c>
      <c r="D46" t="s">
        <v>12</v>
      </c>
      <c r="E46">
        <v>-6.3364779874213797</v>
      </c>
      <c r="F46" s="8">
        <v>7.3272727272727201</v>
      </c>
      <c r="G46" s="18">
        <v>1.40117269548984E-9</v>
      </c>
      <c r="H46" s="20" t="b">
        <f t="shared" si="1"/>
        <v>0</v>
      </c>
    </row>
    <row r="47" spans="2:8" x14ac:dyDescent="0.3">
      <c r="B47" s="14">
        <v>44091.666678240741</v>
      </c>
      <c r="C47" s="15" t="s">
        <v>51</v>
      </c>
      <c r="D47" t="s">
        <v>12</v>
      </c>
      <c r="E47">
        <v>-3.8364779874213801</v>
      </c>
      <c r="F47" s="15">
        <v>7.4143646408839698</v>
      </c>
      <c r="G47" s="19">
        <v>7.5675621685965394E-8</v>
      </c>
      <c r="H47" s="15" t="b">
        <f t="shared" si="1"/>
        <v>1</v>
      </c>
    </row>
    <row r="48" spans="2:8" x14ac:dyDescent="0.3">
      <c r="B48" s="13">
        <v>44091.666678240741</v>
      </c>
      <c r="C48" s="8" t="s">
        <v>52</v>
      </c>
      <c r="D48">
        <v>18.592815000000002</v>
      </c>
      <c r="E48">
        <v>19.311377245508901</v>
      </c>
      <c r="F48" s="8">
        <v>7.5</v>
      </c>
      <c r="G48" s="18">
        <v>7.7838981590657095E-9</v>
      </c>
      <c r="H48" s="20" t="b">
        <f t="shared" ref="H48:H79" si="2">G48 &gt;$G$5</f>
        <v>0</v>
      </c>
    </row>
    <row r="49" spans="2:8" x14ac:dyDescent="0.3">
      <c r="B49" s="13">
        <v>44091.666678240741</v>
      </c>
      <c r="C49" s="8" t="s">
        <v>53</v>
      </c>
      <c r="D49" t="s">
        <v>12</v>
      </c>
      <c r="E49">
        <v>-1.21618788005871</v>
      </c>
      <c r="F49" s="8">
        <v>7.5324675324675301</v>
      </c>
      <c r="G49" s="18">
        <v>1.73890046381979E-8</v>
      </c>
      <c r="H49" s="20" t="b">
        <f t="shared" si="2"/>
        <v>0</v>
      </c>
    </row>
    <row r="50" spans="2:8" x14ac:dyDescent="0.3">
      <c r="B50" s="13">
        <v>44091.666689814818</v>
      </c>
      <c r="C50" s="8" t="s">
        <v>54</v>
      </c>
      <c r="D50">
        <v>24.288285999999999</v>
      </c>
      <c r="E50">
        <v>24.756756756756701</v>
      </c>
      <c r="F50" s="8">
        <v>7.6759776536312803</v>
      </c>
      <c r="G50" s="18">
        <v>5.8424829385327104E-9</v>
      </c>
      <c r="H50" s="20" t="b">
        <f t="shared" si="2"/>
        <v>0</v>
      </c>
    </row>
    <row r="51" spans="2:8" x14ac:dyDescent="0.3">
      <c r="B51" s="14">
        <v>44091.666678240741</v>
      </c>
      <c r="C51" s="15" t="s">
        <v>55</v>
      </c>
      <c r="D51" t="s">
        <v>12</v>
      </c>
      <c r="E51">
        <v>-65.798045602605796</v>
      </c>
      <c r="F51" s="15">
        <v>7.7692307692307603</v>
      </c>
      <c r="G51" s="19">
        <v>9.6220051995018401E-8</v>
      </c>
      <c r="H51" s="15" t="b">
        <f t="shared" si="2"/>
        <v>1</v>
      </c>
    </row>
    <row r="52" spans="2:8" x14ac:dyDescent="0.3">
      <c r="B52" s="13">
        <v>44091.666689814818</v>
      </c>
      <c r="C52" s="8" t="s">
        <v>56</v>
      </c>
      <c r="D52">
        <v>8.7272730000000003</v>
      </c>
      <c r="E52">
        <v>8.9949494949494895</v>
      </c>
      <c r="F52" s="8">
        <v>7.8114035087719298</v>
      </c>
      <c r="G52" s="18">
        <v>7.4133007483797003E-9</v>
      </c>
      <c r="H52" s="20" t="b">
        <f t="shared" si="2"/>
        <v>0</v>
      </c>
    </row>
    <row r="53" spans="2:8" x14ac:dyDescent="0.3">
      <c r="B53" s="13">
        <v>44091.666678240741</v>
      </c>
      <c r="C53" s="8" t="s">
        <v>57</v>
      </c>
      <c r="D53" t="s">
        <v>12</v>
      </c>
      <c r="E53">
        <v>-3.19985438660356</v>
      </c>
      <c r="F53" s="8">
        <v>7.9909090909090796</v>
      </c>
      <c r="G53" s="18">
        <v>8.0120162961498807E-9</v>
      </c>
      <c r="H53" s="20" t="b">
        <f t="shared" si="2"/>
        <v>0</v>
      </c>
    </row>
    <row r="54" spans="2:8" x14ac:dyDescent="0.3">
      <c r="B54" s="13">
        <v>44091.666678240741</v>
      </c>
      <c r="C54" s="8" t="s">
        <v>58</v>
      </c>
      <c r="D54" t="s">
        <v>12</v>
      </c>
      <c r="E54">
        <v>-5.9165858389912698</v>
      </c>
      <c r="F54" s="8">
        <v>8.0263157894736796</v>
      </c>
      <c r="G54" s="18">
        <v>1.7815510680993401E-8</v>
      </c>
      <c r="H54" s="8" t="b">
        <f t="shared" si="2"/>
        <v>0</v>
      </c>
    </row>
    <row r="55" spans="2:8" x14ac:dyDescent="0.3">
      <c r="B55" s="13">
        <v>44091.666678240741</v>
      </c>
      <c r="C55" s="8" t="s">
        <v>59</v>
      </c>
      <c r="D55">
        <v>58.195487999999997</v>
      </c>
      <c r="E55">
        <v>60.827067669172898</v>
      </c>
      <c r="F55" s="8">
        <v>8.09</v>
      </c>
      <c r="G55" s="18">
        <v>3.4003902300666898E-8</v>
      </c>
      <c r="H55" s="8" t="b">
        <f t="shared" si="2"/>
        <v>1</v>
      </c>
    </row>
    <row r="56" spans="2:8" x14ac:dyDescent="0.3">
      <c r="B56" s="13">
        <v>44091.666678240741</v>
      </c>
      <c r="C56" s="8" t="s">
        <v>60</v>
      </c>
      <c r="D56">
        <v>2.4695938000000002</v>
      </c>
      <c r="E56">
        <v>2.54922279792746</v>
      </c>
      <c r="F56" s="8">
        <v>8.1428571428571406</v>
      </c>
      <c r="G56" s="18">
        <v>1.9036240519391901E-8</v>
      </c>
      <c r="H56" s="8" t="b">
        <f t="shared" si="2"/>
        <v>0</v>
      </c>
    </row>
    <row r="57" spans="2:8" x14ac:dyDescent="0.3">
      <c r="B57" s="13">
        <v>44091.666678240741</v>
      </c>
      <c r="C57" s="8" t="s">
        <v>61</v>
      </c>
      <c r="D57" t="s">
        <v>12</v>
      </c>
      <c r="E57">
        <v>-76.351351351351298</v>
      </c>
      <c r="F57" s="8">
        <v>8.1490384615384599</v>
      </c>
      <c r="G57" s="18">
        <v>4.3980605311714502E-8</v>
      </c>
      <c r="H57" s="8" t="b">
        <f t="shared" si="2"/>
        <v>1</v>
      </c>
    </row>
    <row r="58" spans="2:8" x14ac:dyDescent="0.3">
      <c r="B58" s="13">
        <v>44091.666678240741</v>
      </c>
      <c r="C58" s="8" t="s">
        <v>62</v>
      </c>
      <c r="D58" t="s">
        <v>12</v>
      </c>
      <c r="E58">
        <v>-1.5463917525773101</v>
      </c>
      <c r="F58" s="8">
        <v>8.1818181818181799</v>
      </c>
      <c r="G58" s="18">
        <v>5.3120382386134499E-9</v>
      </c>
      <c r="H58" s="8" t="b">
        <f t="shared" si="2"/>
        <v>0</v>
      </c>
    </row>
    <row r="59" spans="2:8" x14ac:dyDescent="0.3">
      <c r="B59" s="13">
        <v>44091.666678240741</v>
      </c>
      <c r="C59" s="8" t="s">
        <v>63</v>
      </c>
      <c r="D59">
        <v>8.8926479999999994</v>
      </c>
      <c r="E59">
        <v>9.2196662156066704</v>
      </c>
      <c r="F59" s="8">
        <v>8.2253521126760507</v>
      </c>
      <c r="G59" s="18">
        <v>2.4672377749144101E-8</v>
      </c>
      <c r="H59" s="8" t="b">
        <f t="shared" si="2"/>
        <v>0</v>
      </c>
    </row>
    <row r="60" spans="2:8" x14ac:dyDescent="0.3">
      <c r="B60" s="13">
        <v>44091.666678240741</v>
      </c>
      <c r="C60" s="8" t="s">
        <v>64</v>
      </c>
      <c r="D60">
        <v>10.799600999999999</v>
      </c>
      <c r="E60">
        <v>10.9432783608195</v>
      </c>
      <c r="F60" s="8">
        <v>8.2632075471698094</v>
      </c>
      <c r="G60" s="18">
        <v>8.2924641526939796E-8</v>
      </c>
      <c r="H60" s="8" t="b">
        <f t="shared" si="2"/>
        <v>1</v>
      </c>
    </row>
    <row r="61" spans="2:8" x14ac:dyDescent="0.3">
      <c r="B61" s="13">
        <v>44091.666678240741</v>
      </c>
      <c r="C61" s="8" t="s">
        <v>65</v>
      </c>
      <c r="D61">
        <v>12.373317</v>
      </c>
      <c r="E61">
        <v>12.602203182374501</v>
      </c>
      <c r="F61" s="8">
        <v>8.3571428571428505</v>
      </c>
      <c r="G61" s="18">
        <v>1.89582859615504E-8</v>
      </c>
      <c r="H61" s="8" t="b">
        <f t="shared" si="2"/>
        <v>0</v>
      </c>
    </row>
    <row r="62" spans="2:8" x14ac:dyDescent="0.3">
      <c r="B62" s="13">
        <v>44091.666678240741</v>
      </c>
      <c r="C62" s="8" t="s">
        <v>66</v>
      </c>
      <c r="D62" t="s">
        <v>12</v>
      </c>
      <c r="E62">
        <v>-2.07421340629275</v>
      </c>
      <c r="F62" s="8">
        <v>8.4236111111111107</v>
      </c>
      <c r="G62" s="18">
        <v>5.6849427843659098E-8</v>
      </c>
      <c r="H62" s="8" t="b">
        <f t="shared" si="2"/>
        <v>1</v>
      </c>
    </row>
    <row r="63" spans="2:8" x14ac:dyDescent="0.3">
      <c r="B63" s="13">
        <v>44091.666678240741</v>
      </c>
      <c r="C63" s="8" t="s">
        <v>67</v>
      </c>
      <c r="D63">
        <v>11.651128999999999</v>
      </c>
      <c r="E63">
        <v>11.6511285574092</v>
      </c>
      <c r="F63" s="8">
        <v>8.6032608695652097</v>
      </c>
      <c r="G63" s="18">
        <v>9.81523172515645E-9</v>
      </c>
      <c r="H63" s="8" t="b">
        <f t="shared" si="2"/>
        <v>0</v>
      </c>
    </row>
    <row r="64" spans="2:8" x14ac:dyDescent="0.3">
      <c r="B64" s="13">
        <v>44091.666689814818</v>
      </c>
      <c r="C64" s="8" t="s">
        <v>68</v>
      </c>
      <c r="D64">
        <v>18.146387000000001</v>
      </c>
      <c r="E64">
        <v>17.0817490494296</v>
      </c>
      <c r="F64" s="8">
        <v>8.7658536585365798</v>
      </c>
      <c r="G64" s="18">
        <v>3.8638225884272401E-8</v>
      </c>
      <c r="H64" s="8" t="b">
        <f t="shared" si="2"/>
        <v>1</v>
      </c>
    </row>
    <row r="65" spans="2:8" x14ac:dyDescent="0.3">
      <c r="B65" s="13">
        <v>44091.666678240741</v>
      </c>
      <c r="C65" s="8" t="s">
        <v>69</v>
      </c>
      <c r="D65" t="s">
        <v>12</v>
      </c>
      <c r="E65">
        <v>-14.283559577677201</v>
      </c>
      <c r="F65" s="8">
        <v>9.0190476190476101</v>
      </c>
      <c r="G65" s="18">
        <v>5.9992947239636903E-8</v>
      </c>
      <c r="H65" s="8" t="b">
        <f t="shared" si="2"/>
        <v>1</v>
      </c>
    </row>
    <row r="66" spans="2:8" x14ac:dyDescent="0.3">
      <c r="B66" s="13">
        <v>44091.666678240741</v>
      </c>
      <c r="C66" s="8" t="s">
        <v>70</v>
      </c>
      <c r="D66">
        <v>10.031556999999999</v>
      </c>
      <c r="E66">
        <v>10.031556802243999</v>
      </c>
      <c r="F66" s="8">
        <v>9.1405750798721996</v>
      </c>
      <c r="G66" s="18">
        <v>5.6633035509255199E-9</v>
      </c>
      <c r="H66" s="8" t="b">
        <f t="shared" si="2"/>
        <v>0</v>
      </c>
    </row>
    <row r="67" spans="2:8" x14ac:dyDescent="0.3">
      <c r="B67" s="13">
        <v>44091.666678240741</v>
      </c>
      <c r="C67" s="8" t="s">
        <v>71</v>
      </c>
      <c r="D67">
        <v>191.17186000000001</v>
      </c>
      <c r="E67">
        <v>194.921875</v>
      </c>
      <c r="F67" s="8">
        <v>9.3445692883895095</v>
      </c>
      <c r="G67" s="18">
        <v>-5.6389610370577099E-10</v>
      </c>
      <c r="H67" s="8" t="b">
        <f t="shared" si="2"/>
        <v>0</v>
      </c>
    </row>
    <row r="68" spans="2:8" x14ac:dyDescent="0.3">
      <c r="B68" s="13">
        <v>44091.666678240741</v>
      </c>
      <c r="C68" s="8" t="s">
        <v>72</v>
      </c>
      <c r="D68" t="s">
        <v>12</v>
      </c>
      <c r="E68">
        <v>-0.59017502325188098</v>
      </c>
      <c r="F68" s="8">
        <v>9.4324324324324298</v>
      </c>
      <c r="G68" s="18">
        <v>3.5197308357943501E-9</v>
      </c>
      <c r="H68" s="8" t="b">
        <f t="shared" si="2"/>
        <v>0</v>
      </c>
    </row>
    <row r="69" spans="2:8" x14ac:dyDescent="0.3">
      <c r="B69" s="13">
        <v>44091.666678240741</v>
      </c>
      <c r="C69" s="8" t="s">
        <v>73</v>
      </c>
      <c r="D69">
        <v>16.821192</v>
      </c>
      <c r="E69">
        <v>17.028145695364199</v>
      </c>
      <c r="F69" s="8">
        <v>9.4792626728110605</v>
      </c>
      <c r="G69" s="18">
        <v>-7.02965590460824E-9</v>
      </c>
      <c r="H69" s="8" t="b">
        <f t="shared" si="2"/>
        <v>0</v>
      </c>
    </row>
    <row r="70" spans="2:8" x14ac:dyDescent="0.3">
      <c r="B70" s="13">
        <v>44091.666678240741</v>
      </c>
      <c r="C70" s="8" t="s">
        <v>74</v>
      </c>
      <c r="D70">
        <v>11.318408</v>
      </c>
      <c r="E70">
        <v>11.4925373134328</v>
      </c>
      <c r="F70" s="8">
        <v>9.5257731958762797</v>
      </c>
      <c r="G70" s="18">
        <v>1.2325841338829001E-8</v>
      </c>
      <c r="H70" s="8" t="b">
        <f t="shared" si="2"/>
        <v>0</v>
      </c>
    </row>
    <row r="71" spans="2:8" x14ac:dyDescent="0.3">
      <c r="B71" s="13">
        <v>44091.666678240741</v>
      </c>
      <c r="C71" s="8" t="s">
        <v>75</v>
      </c>
      <c r="D71" t="s">
        <v>12</v>
      </c>
      <c r="E71">
        <v>-16.8187579214195</v>
      </c>
      <c r="F71" s="8">
        <v>9.5467625899280506</v>
      </c>
      <c r="G71" s="18">
        <v>1.8523597251819899E-8</v>
      </c>
      <c r="H71" s="8" t="b">
        <f t="shared" si="2"/>
        <v>0</v>
      </c>
    </row>
    <row r="72" spans="2:8" x14ac:dyDescent="0.3">
      <c r="B72" s="13">
        <v>44091.666689814818</v>
      </c>
      <c r="C72" s="8" t="s">
        <v>76</v>
      </c>
      <c r="D72" t="s">
        <v>12</v>
      </c>
      <c r="E72">
        <v>-1.8426501035196601</v>
      </c>
      <c r="F72" s="8">
        <v>9.6216216216216193</v>
      </c>
      <c r="G72" s="18">
        <v>1.1569563482900499E-8</v>
      </c>
      <c r="H72" s="8" t="b">
        <f t="shared" si="2"/>
        <v>0</v>
      </c>
    </row>
    <row r="73" spans="2:8" x14ac:dyDescent="0.3">
      <c r="B73" s="13">
        <v>44091.666689814818</v>
      </c>
      <c r="C73" s="8" t="s">
        <v>77</v>
      </c>
      <c r="D73">
        <v>11.449275999999999</v>
      </c>
      <c r="E73">
        <v>11.903381642512</v>
      </c>
      <c r="F73" s="8">
        <v>9.7007874015748001</v>
      </c>
      <c r="G73" s="18">
        <v>5.1864102200045498E-8</v>
      </c>
      <c r="H73" s="8" t="b">
        <f t="shared" si="2"/>
        <v>1</v>
      </c>
    </row>
    <row r="74" spans="2:8" x14ac:dyDescent="0.3">
      <c r="B74" s="13">
        <v>44091.666689814818</v>
      </c>
      <c r="C74" s="8" t="s">
        <v>78</v>
      </c>
      <c r="D74">
        <v>17.940199</v>
      </c>
      <c r="E74">
        <v>17.807308970099601</v>
      </c>
      <c r="F74" s="8">
        <v>9.7454545454545407</v>
      </c>
      <c r="G74" s="18">
        <v>1.3609586773805499E-8</v>
      </c>
      <c r="H74" s="8" t="b">
        <f t="shared" si="2"/>
        <v>0</v>
      </c>
    </row>
    <row r="75" spans="2:8" x14ac:dyDescent="0.3">
      <c r="B75" s="13">
        <v>44091.666689814818</v>
      </c>
      <c r="C75" s="8" t="s">
        <v>79</v>
      </c>
      <c r="D75">
        <v>9.6331959999999999</v>
      </c>
      <c r="E75">
        <v>9.8486932599724799</v>
      </c>
      <c r="F75" s="8">
        <v>9.7636363636363601</v>
      </c>
      <c r="G75" s="18">
        <v>1.5706917266475202E-8</v>
      </c>
      <c r="H75" s="8" t="b">
        <f t="shared" si="2"/>
        <v>0</v>
      </c>
    </row>
    <row r="76" spans="2:8" x14ac:dyDescent="0.3">
      <c r="B76" s="13">
        <v>44091.666678240741</v>
      </c>
      <c r="C76" s="8" t="s">
        <v>80</v>
      </c>
      <c r="D76" t="s">
        <v>12</v>
      </c>
      <c r="E76">
        <v>-18.821362799263301</v>
      </c>
      <c r="F76" s="8">
        <v>9.8983050847457594</v>
      </c>
      <c r="G76" s="18">
        <v>1.00365156030669E-8</v>
      </c>
      <c r="H76" s="8" t="b">
        <f t="shared" si="2"/>
        <v>0</v>
      </c>
    </row>
    <row r="77" spans="2:8" x14ac:dyDescent="0.3">
      <c r="B77" s="13">
        <v>44091.666678240741</v>
      </c>
      <c r="C77" s="8" t="s">
        <v>81</v>
      </c>
      <c r="D77">
        <v>11.596506</v>
      </c>
      <c r="E77">
        <v>11.5885623510722</v>
      </c>
      <c r="F77" s="8">
        <v>9.9251700680272101</v>
      </c>
      <c r="G77" s="18">
        <v>2.79383588525572E-8</v>
      </c>
      <c r="H77" s="8" t="b">
        <f t="shared" si="2"/>
        <v>0</v>
      </c>
    </row>
    <row r="78" spans="2:8" x14ac:dyDescent="0.3">
      <c r="B78" s="13">
        <v>44091.666689814818</v>
      </c>
      <c r="C78" s="8" t="s">
        <v>82</v>
      </c>
      <c r="D78">
        <v>11.770966</v>
      </c>
      <c r="E78">
        <v>11.9722382880277</v>
      </c>
      <c r="F78" s="8">
        <v>10.0193610842207</v>
      </c>
      <c r="G78" s="18">
        <v>1.4487268079943301E-8</v>
      </c>
      <c r="H78" s="8" t="b">
        <f t="shared" si="2"/>
        <v>0</v>
      </c>
    </row>
    <row r="79" spans="2:8" x14ac:dyDescent="0.3">
      <c r="B79" s="13">
        <v>44091.666689814818</v>
      </c>
      <c r="C79" s="8" t="s">
        <v>83</v>
      </c>
      <c r="D79">
        <v>72.73357</v>
      </c>
      <c r="E79">
        <v>73.875432525951496</v>
      </c>
      <c r="F79" s="8">
        <v>10.023474178403699</v>
      </c>
      <c r="G79" s="18">
        <v>3.3197160272023103E-8</v>
      </c>
      <c r="H79" s="8" t="b">
        <f t="shared" si="2"/>
        <v>1</v>
      </c>
    </row>
    <row r="80" spans="2:8" x14ac:dyDescent="0.3">
      <c r="B80" s="13">
        <v>44091.666689814818</v>
      </c>
      <c r="C80" s="8" t="s">
        <v>84</v>
      </c>
      <c r="D80">
        <v>9.5780759999999994</v>
      </c>
      <c r="E80">
        <v>9.5386435331230199</v>
      </c>
      <c r="F80" s="8">
        <v>10.1638655462184</v>
      </c>
      <c r="G80" s="18">
        <v>3.7575196076281498E-8</v>
      </c>
      <c r="H80" s="8" t="b">
        <f t="shared" ref="H80:H111" si="3">G80 &gt;$G$5</f>
        <v>1</v>
      </c>
    </row>
    <row r="81" spans="2:8" x14ac:dyDescent="0.3">
      <c r="B81" s="13">
        <v>44091.666689814818</v>
      </c>
      <c r="C81" s="8" t="s">
        <v>85</v>
      </c>
      <c r="D81">
        <v>11.957262</v>
      </c>
      <c r="E81">
        <v>12.0625580675131</v>
      </c>
      <c r="F81" s="8">
        <v>10.1697127937336</v>
      </c>
      <c r="G81" s="18">
        <v>7.2818046993943103E-9</v>
      </c>
      <c r="H81" s="8" t="b">
        <f t="shared" si="3"/>
        <v>0</v>
      </c>
    </row>
    <row r="82" spans="2:8" x14ac:dyDescent="0.3">
      <c r="B82" s="13">
        <v>44091.666689814818</v>
      </c>
      <c r="C82" s="8" t="s">
        <v>86</v>
      </c>
      <c r="D82" t="s">
        <v>12</v>
      </c>
      <c r="E82">
        <v>-1.89652996845425</v>
      </c>
      <c r="F82" s="8">
        <v>10.2244897959183</v>
      </c>
      <c r="G82" s="18">
        <v>5.4846909657588899E-9</v>
      </c>
      <c r="H82" s="8" t="b">
        <f t="shared" si="3"/>
        <v>0</v>
      </c>
    </row>
    <row r="83" spans="2:8" x14ac:dyDescent="0.3">
      <c r="B83" s="13">
        <v>44091.666689814818</v>
      </c>
      <c r="C83" s="8" t="s">
        <v>87</v>
      </c>
      <c r="D83">
        <v>12.809642999999999</v>
      </c>
      <c r="E83">
        <v>12.6891105569409</v>
      </c>
      <c r="F83" s="8">
        <v>10.9035714285714</v>
      </c>
      <c r="G83" s="18">
        <v>2.35509421172547E-8</v>
      </c>
      <c r="H83" s="8" t="b">
        <f t="shared" si="3"/>
        <v>0</v>
      </c>
    </row>
    <row r="84" spans="2:8" x14ac:dyDescent="0.3">
      <c r="B84" s="13">
        <v>44091.666678240741</v>
      </c>
      <c r="C84" s="8" t="s">
        <v>88</v>
      </c>
      <c r="D84" t="s">
        <v>12</v>
      </c>
      <c r="E84">
        <v>-163.29192546583801</v>
      </c>
      <c r="F84" s="8">
        <v>10.908713692946</v>
      </c>
      <c r="G84" s="18">
        <v>-4.4069646107444902E-9</v>
      </c>
      <c r="H84" s="8" t="b">
        <f t="shared" si="3"/>
        <v>0</v>
      </c>
    </row>
    <row r="85" spans="2:8" x14ac:dyDescent="0.3">
      <c r="B85" s="13">
        <v>44091.666678240741</v>
      </c>
      <c r="C85" s="8" t="s">
        <v>89</v>
      </c>
      <c r="D85">
        <v>11.092952</v>
      </c>
      <c r="E85">
        <v>11.2002042900919</v>
      </c>
      <c r="F85" s="8">
        <v>10.965</v>
      </c>
      <c r="G85" s="18">
        <v>7.92537580203125E-9</v>
      </c>
      <c r="H85" s="8" t="b">
        <f t="shared" si="3"/>
        <v>0</v>
      </c>
    </row>
    <row r="86" spans="2:8" x14ac:dyDescent="0.3">
      <c r="B86" s="13">
        <v>44091.666678240741</v>
      </c>
      <c r="C86" s="8" t="s">
        <v>90</v>
      </c>
      <c r="D86" t="s">
        <v>12</v>
      </c>
      <c r="E86">
        <v>-17.845554834523</v>
      </c>
      <c r="F86" s="8">
        <v>11.1788617886178</v>
      </c>
      <c r="G86" s="18">
        <v>6.3766622993907199E-8</v>
      </c>
      <c r="H86" s="8" t="b">
        <f t="shared" si="3"/>
        <v>1</v>
      </c>
    </row>
    <row r="87" spans="2:8" x14ac:dyDescent="0.3">
      <c r="B87" s="13">
        <v>44091.666678240741</v>
      </c>
      <c r="C87" s="8" t="s">
        <v>91</v>
      </c>
      <c r="D87" t="s">
        <v>12</v>
      </c>
      <c r="E87">
        <v>-10.7645722937168</v>
      </c>
      <c r="F87" s="8">
        <v>11.285714285714199</v>
      </c>
      <c r="G87" s="18">
        <v>7.7913477744590103E-9</v>
      </c>
      <c r="H87" s="8" t="b">
        <f t="shared" si="3"/>
        <v>0</v>
      </c>
    </row>
    <row r="88" spans="2:8" x14ac:dyDescent="0.3">
      <c r="B88" s="13">
        <v>44091.666678240741</v>
      </c>
      <c r="C88" s="8" t="s">
        <v>92</v>
      </c>
      <c r="D88" t="s">
        <v>12</v>
      </c>
      <c r="E88">
        <v>-11.472501478415101</v>
      </c>
      <c r="F88" s="8">
        <v>11.345029239765999</v>
      </c>
      <c r="G88" s="18">
        <v>7.6455565962299808E-9</v>
      </c>
      <c r="H88" s="8" t="b">
        <f t="shared" si="3"/>
        <v>0</v>
      </c>
    </row>
    <row r="89" spans="2:8" x14ac:dyDescent="0.3">
      <c r="B89" s="13">
        <v>44091.666689814818</v>
      </c>
      <c r="C89" s="8" t="s">
        <v>93</v>
      </c>
      <c r="D89">
        <v>26.184000000000001</v>
      </c>
      <c r="E89">
        <v>26.863999999999901</v>
      </c>
      <c r="F89" s="8">
        <v>11.5395189003436</v>
      </c>
      <c r="G89" s="18">
        <v>1.4237919451791499E-8</v>
      </c>
      <c r="H89" s="8" t="b">
        <f t="shared" si="3"/>
        <v>0</v>
      </c>
    </row>
    <row r="90" spans="2:8" x14ac:dyDescent="0.3">
      <c r="B90" s="13">
        <v>44091.666678240741</v>
      </c>
      <c r="C90" s="8" t="s">
        <v>94</v>
      </c>
      <c r="D90">
        <v>13.457364999999999</v>
      </c>
      <c r="E90">
        <v>13.503875968992199</v>
      </c>
      <c r="F90" s="8">
        <v>11.6133333333333</v>
      </c>
      <c r="G90" s="18">
        <v>1.18103724800958E-7</v>
      </c>
      <c r="H90" s="8" t="b">
        <f t="shared" si="3"/>
        <v>1</v>
      </c>
    </row>
    <row r="91" spans="2:8" x14ac:dyDescent="0.3">
      <c r="B91" s="13">
        <v>44091.666678240741</v>
      </c>
      <c r="C91" s="8" t="s">
        <v>95</v>
      </c>
      <c r="D91" t="s">
        <v>12</v>
      </c>
      <c r="E91">
        <v>-13.7554060547813</v>
      </c>
      <c r="F91" s="8">
        <v>11.7075664621676</v>
      </c>
      <c r="G91" s="18">
        <v>5.9463617665948398E-9</v>
      </c>
      <c r="H91" s="8" t="b">
        <f t="shared" si="3"/>
        <v>0</v>
      </c>
    </row>
    <row r="92" spans="2:8" x14ac:dyDescent="0.3">
      <c r="B92" s="13">
        <v>44091.666678240741</v>
      </c>
      <c r="C92" s="8" t="s">
        <v>96</v>
      </c>
      <c r="D92">
        <v>22.56082</v>
      </c>
      <c r="E92">
        <v>21.9846350832266</v>
      </c>
      <c r="F92" s="8">
        <v>11.8413793103448</v>
      </c>
      <c r="G92" s="18">
        <v>1.1543786794888999E-7</v>
      </c>
      <c r="H92" s="8" t="b">
        <f t="shared" si="3"/>
        <v>1</v>
      </c>
    </row>
    <row r="93" spans="2:8" x14ac:dyDescent="0.3">
      <c r="B93" s="13">
        <v>44091.666678240741</v>
      </c>
      <c r="C93" s="8" t="s">
        <v>97</v>
      </c>
      <c r="D93">
        <v>37.518684</v>
      </c>
      <c r="E93">
        <v>37.593423019431903</v>
      </c>
      <c r="F93" s="8">
        <v>11.9761904761904</v>
      </c>
      <c r="G93" s="18">
        <v>5.8534736184873103E-8</v>
      </c>
      <c r="H93" s="8" t="b">
        <f t="shared" si="3"/>
        <v>1</v>
      </c>
    </row>
    <row r="94" spans="2:8" x14ac:dyDescent="0.3">
      <c r="B94" s="13">
        <v>44091.666678240741</v>
      </c>
      <c r="C94" s="8" t="s">
        <v>98</v>
      </c>
      <c r="D94">
        <v>48.812910000000002</v>
      </c>
      <c r="E94">
        <v>50.7870967741935</v>
      </c>
      <c r="F94" s="8">
        <v>12.148148148148101</v>
      </c>
      <c r="G94" s="18">
        <v>3.84179601725539E-8</v>
      </c>
      <c r="H94" s="8" t="b">
        <f t="shared" si="3"/>
        <v>1</v>
      </c>
    </row>
    <row r="95" spans="2:8" x14ac:dyDescent="0.3">
      <c r="B95" s="13">
        <v>44091.666689814818</v>
      </c>
      <c r="C95" s="8" t="s">
        <v>99</v>
      </c>
      <c r="D95">
        <v>421.66669999999999</v>
      </c>
      <c r="E95">
        <v>426.666666666666</v>
      </c>
      <c r="F95" s="8">
        <v>12.190476190476099</v>
      </c>
      <c r="G95" s="18">
        <v>2.20724944068856E-8</v>
      </c>
      <c r="H95" s="8" t="b">
        <f t="shared" si="3"/>
        <v>0</v>
      </c>
    </row>
    <row r="96" spans="2:8" x14ac:dyDescent="0.3">
      <c r="B96" s="13">
        <v>44091.666678240741</v>
      </c>
      <c r="C96" s="8" t="s">
        <v>100</v>
      </c>
      <c r="D96" t="s">
        <v>12</v>
      </c>
      <c r="E96">
        <v>-16.989966555183901</v>
      </c>
      <c r="F96" s="8">
        <v>12.5432098765432</v>
      </c>
      <c r="G96" s="18">
        <v>-2.3420863362670601E-8</v>
      </c>
      <c r="H96" s="8" t="b">
        <f t="shared" si="3"/>
        <v>0</v>
      </c>
    </row>
    <row r="97" spans="2:8" x14ac:dyDescent="0.3">
      <c r="B97" s="13">
        <v>44091.666678240741</v>
      </c>
      <c r="C97" s="8" t="s">
        <v>101</v>
      </c>
      <c r="D97" t="s">
        <v>12</v>
      </c>
      <c r="E97">
        <v>-3.45823306978343</v>
      </c>
      <c r="F97" s="8">
        <v>12.734177215189799</v>
      </c>
      <c r="G97" s="18">
        <v>4.0356493175821497E-8</v>
      </c>
      <c r="H97" s="8" t="b">
        <f t="shared" si="3"/>
        <v>1</v>
      </c>
    </row>
    <row r="98" spans="2:8" x14ac:dyDescent="0.3">
      <c r="B98" s="13">
        <v>44091.666678240741</v>
      </c>
      <c r="C98" s="8" t="s">
        <v>102</v>
      </c>
      <c r="D98">
        <v>23.569365000000001</v>
      </c>
      <c r="E98">
        <v>23.6127167630057</v>
      </c>
      <c r="F98" s="8">
        <v>12.815686274509799</v>
      </c>
      <c r="G98" s="18">
        <v>1.0254782490371399E-8</v>
      </c>
      <c r="H98" s="8" t="b">
        <f t="shared" si="3"/>
        <v>0</v>
      </c>
    </row>
    <row r="99" spans="2:8" x14ac:dyDescent="0.3">
      <c r="B99" s="13">
        <v>44091.666678240741</v>
      </c>
      <c r="C99" s="8" t="s">
        <v>103</v>
      </c>
      <c r="D99" t="s">
        <v>12</v>
      </c>
      <c r="E99">
        <v>-20.963455149501598</v>
      </c>
      <c r="F99" s="8">
        <v>12.877551020408101</v>
      </c>
      <c r="G99" s="18">
        <v>1.9367499321994199E-8</v>
      </c>
      <c r="H99" s="8" t="b">
        <f t="shared" si="3"/>
        <v>0</v>
      </c>
    </row>
    <row r="100" spans="2:8" x14ac:dyDescent="0.3">
      <c r="B100" s="13">
        <v>44091.666689814818</v>
      </c>
      <c r="C100" s="8" t="s">
        <v>104</v>
      </c>
      <c r="D100">
        <v>36.994300000000003</v>
      </c>
      <c r="E100">
        <v>37.478632478632399</v>
      </c>
      <c r="F100" s="8">
        <v>13.024752475247499</v>
      </c>
      <c r="G100" s="18">
        <v>4.0141873399553801E-9</v>
      </c>
      <c r="H100" s="8" t="b">
        <f t="shared" si="3"/>
        <v>0</v>
      </c>
    </row>
    <row r="101" spans="2:8" x14ac:dyDescent="0.3">
      <c r="B101" s="13">
        <v>44091.666678240741</v>
      </c>
      <c r="C101" s="8" t="s">
        <v>105</v>
      </c>
      <c r="D101">
        <v>20.439730000000001</v>
      </c>
      <c r="E101">
        <v>20.5276771857216</v>
      </c>
      <c r="F101" s="8">
        <v>13.095709570957</v>
      </c>
      <c r="G101" s="18">
        <v>3.1967253684683799E-8</v>
      </c>
      <c r="H101" s="8" t="b">
        <f t="shared" si="3"/>
        <v>1</v>
      </c>
    </row>
    <row r="102" spans="2:8" x14ac:dyDescent="0.3">
      <c r="B102" s="13">
        <v>44091.666678240741</v>
      </c>
      <c r="C102" s="8" t="s">
        <v>106</v>
      </c>
      <c r="D102" t="s">
        <v>12</v>
      </c>
      <c r="E102">
        <v>-78.277027027027003</v>
      </c>
      <c r="F102" s="8">
        <v>13.6294117647058</v>
      </c>
      <c r="G102" s="18">
        <v>6.2475387962706299E-9</v>
      </c>
      <c r="H102" s="8" t="b">
        <f t="shared" si="3"/>
        <v>0</v>
      </c>
    </row>
    <row r="103" spans="2:8" x14ac:dyDescent="0.3">
      <c r="B103" s="13">
        <v>44091.666689814818</v>
      </c>
      <c r="C103" s="8" t="s">
        <v>107</v>
      </c>
      <c r="D103">
        <v>71.587299999999999</v>
      </c>
      <c r="E103">
        <v>73.841269841269806</v>
      </c>
      <c r="F103" s="8">
        <v>13.682352941176401</v>
      </c>
      <c r="G103" s="18">
        <v>-5.2385414190819897E-9</v>
      </c>
      <c r="H103" s="8" t="b">
        <f t="shared" si="3"/>
        <v>0</v>
      </c>
    </row>
    <row r="104" spans="2:8" x14ac:dyDescent="0.3">
      <c r="B104" s="13">
        <v>44091.666689814818</v>
      </c>
      <c r="C104" s="8" t="s">
        <v>108</v>
      </c>
      <c r="D104" t="s">
        <v>12</v>
      </c>
      <c r="E104">
        <v>-13.802690582959601</v>
      </c>
      <c r="F104" s="8">
        <v>13.990909090909</v>
      </c>
      <c r="G104" s="18">
        <v>2.4290082711774498E-9</v>
      </c>
      <c r="H104" s="8" t="b">
        <f t="shared" si="3"/>
        <v>0</v>
      </c>
    </row>
    <row r="105" spans="2:8" x14ac:dyDescent="0.3">
      <c r="B105" s="13">
        <v>44091.666689814818</v>
      </c>
      <c r="C105" s="8" t="s">
        <v>109</v>
      </c>
      <c r="D105">
        <v>19.859784999999999</v>
      </c>
      <c r="E105">
        <v>20.021116648365499</v>
      </c>
      <c r="F105" s="8">
        <v>14.0254437869822</v>
      </c>
      <c r="G105" s="18">
        <v>1.2513518368678501E-8</v>
      </c>
      <c r="H105" s="8" t="b">
        <f t="shared" si="3"/>
        <v>0</v>
      </c>
    </row>
    <row r="106" spans="2:8" x14ac:dyDescent="0.3">
      <c r="B106" s="13">
        <v>44091.666678240741</v>
      </c>
      <c r="C106" s="8" t="s">
        <v>110</v>
      </c>
      <c r="D106" t="s">
        <v>12</v>
      </c>
      <c r="E106">
        <v>-5.0301204819277103</v>
      </c>
      <c r="F106" s="8">
        <v>14.039823008849501</v>
      </c>
      <c r="G106" s="18">
        <v>9.79822841340172E-9</v>
      </c>
      <c r="H106" s="8" t="b">
        <f t="shared" si="3"/>
        <v>0</v>
      </c>
    </row>
    <row r="107" spans="2:8" x14ac:dyDescent="0.3">
      <c r="B107" s="13">
        <v>44091.666689814818</v>
      </c>
      <c r="C107" s="8" t="s">
        <v>111</v>
      </c>
      <c r="D107" t="s">
        <v>12</v>
      </c>
      <c r="E107">
        <v>-2.3831070889894401</v>
      </c>
      <c r="F107" s="8">
        <v>14.0444444444444</v>
      </c>
      <c r="G107" s="18">
        <v>1.8152912323824599E-8</v>
      </c>
      <c r="H107" s="8" t="b">
        <f t="shared" si="3"/>
        <v>0</v>
      </c>
    </row>
    <row r="108" spans="2:8" x14ac:dyDescent="0.3">
      <c r="B108" s="13">
        <v>44091.666689814818</v>
      </c>
      <c r="C108" s="8" t="s">
        <v>112</v>
      </c>
      <c r="D108">
        <v>46.292136999999997</v>
      </c>
      <c r="E108">
        <v>47.2808988764044</v>
      </c>
      <c r="F108" s="8">
        <v>14.2162162162162</v>
      </c>
      <c r="G108" s="18">
        <v>5.3090662589403403E-9</v>
      </c>
      <c r="H108" s="8" t="b">
        <f t="shared" si="3"/>
        <v>0</v>
      </c>
    </row>
    <row r="109" spans="2:8" x14ac:dyDescent="0.3">
      <c r="B109" s="13">
        <v>44091.666689814818</v>
      </c>
      <c r="C109" s="8" t="s">
        <v>113</v>
      </c>
      <c r="D109" t="s">
        <v>12</v>
      </c>
      <c r="E109">
        <v>-1.3397889868478099</v>
      </c>
      <c r="F109" s="8">
        <v>14.2615384615384</v>
      </c>
      <c r="G109" s="18">
        <v>5.6751609919662304E-9</v>
      </c>
      <c r="H109" s="8" t="b">
        <f t="shared" si="3"/>
        <v>0</v>
      </c>
    </row>
    <row r="110" spans="2:8" x14ac:dyDescent="0.3">
      <c r="B110" s="13">
        <v>44091.666678240741</v>
      </c>
      <c r="C110" s="8" t="s">
        <v>114</v>
      </c>
      <c r="D110">
        <v>23.20119</v>
      </c>
      <c r="E110">
        <v>23.691774033696699</v>
      </c>
      <c r="F110" s="8">
        <v>14.4006024096385</v>
      </c>
      <c r="G110" s="18">
        <v>2.1837871604309401E-8</v>
      </c>
      <c r="H110" s="8" t="b">
        <f t="shared" si="3"/>
        <v>0</v>
      </c>
    </row>
    <row r="111" spans="2:8" x14ac:dyDescent="0.3">
      <c r="B111" s="13">
        <v>44091.666678240741</v>
      </c>
      <c r="C111" s="8" t="s">
        <v>115</v>
      </c>
      <c r="D111">
        <v>12.64988</v>
      </c>
      <c r="E111">
        <v>13.075539568345301</v>
      </c>
      <c r="F111" s="8">
        <v>14.938356164383499</v>
      </c>
      <c r="G111" s="18">
        <v>3.54268065784811E-8</v>
      </c>
      <c r="H111" s="8" t="b">
        <f t="shared" si="3"/>
        <v>1</v>
      </c>
    </row>
    <row r="112" spans="2:8" x14ac:dyDescent="0.3">
      <c r="B112" s="13">
        <v>44091.666678240741</v>
      </c>
      <c r="C112" s="8" t="s">
        <v>116</v>
      </c>
      <c r="D112">
        <v>19.328703000000001</v>
      </c>
      <c r="E112">
        <v>19.4236111111111</v>
      </c>
      <c r="F112" s="8">
        <v>15.1735985533453</v>
      </c>
      <c r="G112" s="18">
        <v>4.2899685366047898E-8</v>
      </c>
      <c r="H112" s="8" t="b">
        <f t="shared" ref="H112:H143" si="4">G112 &gt;$G$5</f>
        <v>1</v>
      </c>
    </row>
    <row r="113" spans="2:8" x14ac:dyDescent="0.3">
      <c r="B113" s="13">
        <v>44091.666678240741</v>
      </c>
      <c r="C113" s="8" t="s">
        <v>117</v>
      </c>
      <c r="D113">
        <v>45.470590000000001</v>
      </c>
      <c r="E113">
        <v>41.970588235294102</v>
      </c>
      <c r="F113" s="8">
        <v>15.180851063829699</v>
      </c>
      <c r="G113" s="18">
        <v>3.3809172325436501E-8</v>
      </c>
      <c r="H113" s="8" t="b">
        <f t="shared" si="4"/>
        <v>1</v>
      </c>
    </row>
    <row r="114" spans="2:8" x14ac:dyDescent="0.3">
      <c r="B114" s="13">
        <v>44091.666689814818</v>
      </c>
      <c r="C114" s="8" t="s">
        <v>118</v>
      </c>
      <c r="D114">
        <v>16.602913000000001</v>
      </c>
      <c r="E114">
        <v>16.7030965391621</v>
      </c>
      <c r="F114" s="8">
        <v>15.4117647058823</v>
      </c>
      <c r="G114" s="18">
        <v>3.62994936581071E-8</v>
      </c>
      <c r="H114" s="8" t="b">
        <f t="shared" si="4"/>
        <v>1</v>
      </c>
    </row>
    <row r="115" spans="2:8" x14ac:dyDescent="0.3">
      <c r="B115" s="13">
        <v>44091.666678240741</v>
      </c>
      <c r="C115" s="8" t="s">
        <v>119</v>
      </c>
      <c r="D115">
        <v>396.97750000000002</v>
      </c>
      <c r="E115">
        <v>401.832797427652</v>
      </c>
      <c r="F115" s="8">
        <v>15.466584158415801</v>
      </c>
      <c r="G115" s="18">
        <v>5.6586397707775103E-9</v>
      </c>
      <c r="H115" s="8" t="b">
        <f t="shared" si="4"/>
        <v>0</v>
      </c>
    </row>
    <row r="116" spans="2:8" x14ac:dyDescent="0.3">
      <c r="B116" s="13">
        <v>44091.666678240741</v>
      </c>
      <c r="C116" s="8" t="s">
        <v>120</v>
      </c>
      <c r="D116">
        <v>18.295286000000001</v>
      </c>
      <c r="E116">
        <v>18.468335787923401</v>
      </c>
      <c r="F116" s="8">
        <v>15.974522292993599</v>
      </c>
      <c r="G116" s="18">
        <v>-4.2681217597697099E-9</v>
      </c>
      <c r="H116" s="8" t="b">
        <f t="shared" si="4"/>
        <v>0</v>
      </c>
    </row>
    <row r="117" spans="2:8" x14ac:dyDescent="0.3">
      <c r="B117" s="13">
        <v>44091.666678240741</v>
      </c>
      <c r="C117" s="8" t="s">
        <v>121</v>
      </c>
      <c r="D117">
        <v>23.079256000000001</v>
      </c>
      <c r="E117">
        <v>23.466059916571801</v>
      </c>
      <c r="F117" s="8">
        <v>16.327176781002599</v>
      </c>
      <c r="G117" s="18">
        <v>1.5609687481275702E-8</v>
      </c>
      <c r="H117" s="8" t="b">
        <f t="shared" si="4"/>
        <v>0</v>
      </c>
    </row>
    <row r="118" spans="2:8" x14ac:dyDescent="0.3">
      <c r="B118" s="13">
        <v>44091.666678240741</v>
      </c>
      <c r="C118" s="8" t="s">
        <v>122</v>
      </c>
      <c r="D118">
        <v>26.704473</v>
      </c>
      <c r="E118">
        <v>26.432274789371299</v>
      </c>
      <c r="F118" s="8">
        <v>16.412474849094501</v>
      </c>
      <c r="G118" s="18">
        <v>-1.9515457098150498E-8</v>
      </c>
      <c r="H118" s="8" t="b">
        <f t="shared" si="4"/>
        <v>0</v>
      </c>
    </row>
    <row r="119" spans="2:8" x14ac:dyDescent="0.3">
      <c r="B119" s="13">
        <v>44091.666678240741</v>
      </c>
      <c r="C119" s="8" t="s">
        <v>123</v>
      </c>
      <c r="D119" t="s">
        <v>12</v>
      </c>
      <c r="E119">
        <v>-0.58751636839807897</v>
      </c>
      <c r="F119" s="8">
        <v>16.414634146341399</v>
      </c>
      <c r="G119" s="18">
        <v>2.4386751485552999E-9</v>
      </c>
      <c r="H119" s="8" t="b">
        <f t="shared" si="4"/>
        <v>0</v>
      </c>
    </row>
    <row r="120" spans="2:8" x14ac:dyDescent="0.3">
      <c r="B120" s="13">
        <v>44091.666678240741</v>
      </c>
      <c r="C120" s="8" t="s">
        <v>124</v>
      </c>
      <c r="D120">
        <v>22.84844</v>
      </c>
      <c r="E120">
        <v>23.838537699923801</v>
      </c>
      <c r="F120" s="8">
        <v>16.473684210526301</v>
      </c>
      <c r="G120" s="18">
        <v>9.5591019063995299E-9</v>
      </c>
      <c r="H120" s="8" t="b">
        <f t="shared" si="4"/>
        <v>0</v>
      </c>
    </row>
    <row r="121" spans="2:8" x14ac:dyDescent="0.3">
      <c r="B121" s="13">
        <v>44091.666689814818</v>
      </c>
      <c r="C121" s="8" t="s">
        <v>125</v>
      </c>
      <c r="D121" t="s">
        <v>12</v>
      </c>
      <c r="E121">
        <v>-14.3662391887861</v>
      </c>
      <c r="F121" s="8">
        <v>16.7256944444444</v>
      </c>
      <c r="G121" s="18">
        <v>3.2629327895254899E-8</v>
      </c>
      <c r="H121" s="8" t="b">
        <f t="shared" si="4"/>
        <v>1</v>
      </c>
    </row>
    <row r="122" spans="2:8" x14ac:dyDescent="0.3">
      <c r="B122" s="13">
        <v>44091.666689814818</v>
      </c>
      <c r="C122" s="8" t="s">
        <v>126</v>
      </c>
      <c r="D122" t="s">
        <v>12</v>
      </c>
      <c r="E122">
        <v>-37.2556390977443</v>
      </c>
      <c r="F122" s="8">
        <v>16.940170940170901</v>
      </c>
      <c r="G122" s="18">
        <v>1.6690009304827999E-8</v>
      </c>
      <c r="H122" s="8" t="b">
        <f t="shared" si="4"/>
        <v>0</v>
      </c>
    </row>
    <row r="123" spans="2:8" x14ac:dyDescent="0.3">
      <c r="B123" s="13">
        <v>44091.666689814818</v>
      </c>
      <c r="C123" s="8" t="s">
        <v>127</v>
      </c>
      <c r="D123">
        <v>7.6553890000000004</v>
      </c>
      <c r="E123">
        <v>8.0802517702596308</v>
      </c>
      <c r="F123" s="8">
        <v>17.1166666666666</v>
      </c>
      <c r="G123" s="18">
        <v>8.3405860541898004E-8</v>
      </c>
      <c r="H123" s="8" t="b">
        <f t="shared" si="4"/>
        <v>1</v>
      </c>
    </row>
    <row r="124" spans="2:8" x14ac:dyDescent="0.3">
      <c r="B124" s="13">
        <v>44091.666689814818</v>
      </c>
      <c r="C124" s="8" t="s">
        <v>128</v>
      </c>
      <c r="D124">
        <v>12.476933499999999</v>
      </c>
      <c r="E124">
        <v>12.441447835344199</v>
      </c>
      <c r="F124" s="8">
        <v>17.186274509803901</v>
      </c>
      <c r="G124" s="18">
        <v>1.8548068861905701E-8</v>
      </c>
      <c r="H124" s="8" t="b">
        <f t="shared" si="4"/>
        <v>0</v>
      </c>
    </row>
    <row r="125" spans="2:8" x14ac:dyDescent="0.3">
      <c r="B125" s="13">
        <v>44091.666678240741</v>
      </c>
      <c r="C125" s="8" t="s">
        <v>129</v>
      </c>
      <c r="D125" t="s">
        <v>12</v>
      </c>
      <c r="E125">
        <v>-4.2521588946459401</v>
      </c>
      <c r="F125" s="8">
        <v>17.338028169013999</v>
      </c>
      <c r="G125" s="18">
        <v>1.9958595540698101E-9</v>
      </c>
      <c r="H125" s="8" t="b">
        <f t="shared" si="4"/>
        <v>0</v>
      </c>
    </row>
    <row r="126" spans="2:8" x14ac:dyDescent="0.3">
      <c r="B126" s="13">
        <v>44091.666678240741</v>
      </c>
      <c r="C126" s="8" t="s">
        <v>130</v>
      </c>
      <c r="D126" t="s">
        <v>12</v>
      </c>
      <c r="E126">
        <v>-11.443661971830901</v>
      </c>
      <c r="F126" s="8">
        <v>17.567567567567501</v>
      </c>
      <c r="G126" s="18">
        <v>3.95243897468957E-9</v>
      </c>
      <c r="H126" s="8" t="b">
        <f t="shared" si="4"/>
        <v>0</v>
      </c>
    </row>
    <row r="127" spans="2:8" x14ac:dyDescent="0.3">
      <c r="B127" s="13">
        <v>44091.666678240741</v>
      </c>
      <c r="C127" s="8" t="s">
        <v>131</v>
      </c>
      <c r="D127">
        <v>22.733591000000001</v>
      </c>
      <c r="E127">
        <v>22.918918918918902</v>
      </c>
      <c r="F127" s="8">
        <v>18.097560975609699</v>
      </c>
      <c r="G127" s="18">
        <v>1.2915520448405599E-8</v>
      </c>
      <c r="H127" s="8" t="b">
        <f t="shared" si="4"/>
        <v>0</v>
      </c>
    </row>
    <row r="128" spans="2:8" x14ac:dyDescent="0.3">
      <c r="B128" s="13">
        <v>44091.666689814818</v>
      </c>
      <c r="C128" s="8" t="s">
        <v>132</v>
      </c>
      <c r="D128" t="s">
        <v>12</v>
      </c>
      <c r="E128">
        <v>-57.173144876324997</v>
      </c>
      <c r="F128" s="8">
        <v>18.813953488372</v>
      </c>
      <c r="G128" s="18">
        <v>6.3494667233629498E-9</v>
      </c>
      <c r="H128" s="8" t="b">
        <f t="shared" si="4"/>
        <v>0</v>
      </c>
    </row>
    <row r="129" spans="2:8" x14ac:dyDescent="0.3">
      <c r="B129" s="13">
        <v>44091.666678240741</v>
      </c>
      <c r="C129" s="8" t="s">
        <v>133</v>
      </c>
      <c r="D129">
        <v>27.692308000000001</v>
      </c>
      <c r="E129">
        <v>28.311965811965798</v>
      </c>
      <c r="F129" s="8">
        <v>18.928571428571399</v>
      </c>
      <c r="G129" s="18">
        <v>1.21560354542036E-8</v>
      </c>
      <c r="H129" s="8" t="b">
        <f t="shared" si="4"/>
        <v>0</v>
      </c>
    </row>
    <row r="130" spans="2:8" x14ac:dyDescent="0.3">
      <c r="B130" s="13">
        <v>44091.670277777775</v>
      </c>
      <c r="C130" s="8" t="s">
        <v>134</v>
      </c>
      <c r="D130">
        <v>158.71794</v>
      </c>
      <c r="E130">
        <v>151.794871794871</v>
      </c>
      <c r="F130" s="8">
        <v>19.096774193548299</v>
      </c>
      <c r="G130" s="18">
        <v>1.73988985419415E-8</v>
      </c>
      <c r="H130" s="8" t="b">
        <f t="shared" si="4"/>
        <v>0</v>
      </c>
    </row>
    <row r="131" spans="2:8" x14ac:dyDescent="0.3">
      <c r="B131" s="13">
        <v>44091.666689814818</v>
      </c>
      <c r="C131" s="8" t="s">
        <v>135</v>
      </c>
      <c r="D131">
        <v>15.563381</v>
      </c>
      <c r="E131">
        <v>15.4084507042253</v>
      </c>
      <c r="F131" s="8">
        <v>19.1929824561403</v>
      </c>
      <c r="G131" s="18">
        <v>3.3849125119628499E-8</v>
      </c>
      <c r="H131" s="8" t="b">
        <f t="shared" si="4"/>
        <v>1</v>
      </c>
    </row>
    <row r="132" spans="2:8" x14ac:dyDescent="0.3">
      <c r="B132" s="13">
        <v>44091.666678240741</v>
      </c>
      <c r="C132" s="8" t="s">
        <v>136</v>
      </c>
      <c r="D132">
        <v>65.411934000000002</v>
      </c>
      <c r="E132">
        <v>66.349431818181799</v>
      </c>
      <c r="F132" s="8">
        <v>19.3817427385892</v>
      </c>
      <c r="G132" s="18">
        <v>2.2342772779767001E-8</v>
      </c>
      <c r="H132" s="8" t="b">
        <f t="shared" si="4"/>
        <v>0</v>
      </c>
    </row>
    <row r="133" spans="2:8" x14ac:dyDescent="0.3">
      <c r="B133" s="13">
        <v>44091.666678240741</v>
      </c>
      <c r="C133" s="8" t="s">
        <v>137</v>
      </c>
      <c r="D133" t="s">
        <v>12</v>
      </c>
      <c r="E133">
        <v>-6.5084033613445298</v>
      </c>
      <c r="F133" s="8">
        <v>19.6075949367088</v>
      </c>
      <c r="G133" s="18">
        <v>1.3493433378189001E-8</v>
      </c>
      <c r="H133" s="8" t="b">
        <f t="shared" si="4"/>
        <v>0</v>
      </c>
    </row>
    <row r="134" spans="2:8" x14ac:dyDescent="0.3">
      <c r="B134" s="13">
        <v>44091.666689814818</v>
      </c>
      <c r="C134" s="8" t="s">
        <v>138</v>
      </c>
      <c r="D134">
        <v>29.171271999999998</v>
      </c>
      <c r="E134">
        <v>30.147329650092001</v>
      </c>
      <c r="F134" s="8">
        <v>19.9634146341463</v>
      </c>
      <c r="G134" s="18">
        <v>1.2576315529000999E-8</v>
      </c>
      <c r="H134" s="8" t="b">
        <f t="shared" si="4"/>
        <v>0</v>
      </c>
    </row>
    <row r="135" spans="2:8" x14ac:dyDescent="0.3">
      <c r="B135" s="13">
        <v>44091.666678240741</v>
      </c>
      <c r="C135" s="8" t="s">
        <v>139</v>
      </c>
      <c r="D135">
        <v>32.575760000000002</v>
      </c>
      <c r="E135">
        <v>33.2750582750582</v>
      </c>
      <c r="F135" s="8">
        <v>20.3928571428571</v>
      </c>
      <c r="G135" s="18">
        <v>4.7979071134080798E-8</v>
      </c>
      <c r="H135" s="8" t="b">
        <f t="shared" si="4"/>
        <v>1</v>
      </c>
    </row>
    <row r="136" spans="2:8" x14ac:dyDescent="0.3">
      <c r="B136" s="13">
        <v>44091.666689814818</v>
      </c>
      <c r="C136" s="8" t="s">
        <v>140</v>
      </c>
      <c r="D136">
        <v>33.062645000000003</v>
      </c>
      <c r="E136">
        <v>31.7633410672853</v>
      </c>
      <c r="F136" s="8">
        <v>20.432835820895502</v>
      </c>
      <c r="G136" s="18">
        <v>1.4076792935436801E-8</v>
      </c>
      <c r="H136" s="8" t="b">
        <f t="shared" si="4"/>
        <v>0</v>
      </c>
    </row>
    <row r="137" spans="2:8" x14ac:dyDescent="0.3">
      <c r="B137" s="13">
        <v>44091.666678240741</v>
      </c>
      <c r="C137" s="8" t="s">
        <v>141</v>
      </c>
      <c r="D137">
        <v>37.040638000000001</v>
      </c>
      <c r="E137">
        <v>38.224381625441701</v>
      </c>
      <c r="F137" s="8">
        <v>20.7033492822966</v>
      </c>
      <c r="G137" s="18">
        <v>1.5728558283662999E-8</v>
      </c>
      <c r="H137" s="8" t="b">
        <f t="shared" si="4"/>
        <v>0</v>
      </c>
    </row>
    <row r="138" spans="2:8" x14ac:dyDescent="0.3">
      <c r="B138" s="13">
        <v>44091.666689814818</v>
      </c>
      <c r="C138" s="8" t="s">
        <v>142</v>
      </c>
      <c r="D138">
        <v>19.363797999999999</v>
      </c>
      <c r="E138">
        <v>20.0358422939068</v>
      </c>
      <c r="F138" s="8">
        <v>20.703703703703699</v>
      </c>
      <c r="G138" s="18">
        <v>9.83619686574021E-9</v>
      </c>
      <c r="H138" s="8" t="b">
        <f t="shared" si="4"/>
        <v>0</v>
      </c>
    </row>
    <row r="139" spans="2:8" x14ac:dyDescent="0.3">
      <c r="B139" s="13">
        <v>44091.666689814818</v>
      </c>
      <c r="C139" s="8" t="s">
        <v>143</v>
      </c>
      <c r="D139" t="s">
        <v>12</v>
      </c>
      <c r="E139">
        <v>-13.2282385195339</v>
      </c>
      <c r="F139" s="8">
        <v>20.978260869565201</v>
      </c>
      <c r="G139" s="18">
        <v>3.5133811078867201E-9</v>
      </c>
      <c r="H139" s="8" t="b">
        <f t="shared" si="4"/>
        <v>0</v>
      </c>
    </row>
    <row r="140" spans="2:8" x14ac:dyDescent="0.3">
      <c r="B140" s="13">
        <v>44091.666689814818</v>
      </c>
      <c r="C140" s="8" t="s">
        <v>144</v>
      </c>
      <c r="D140">
        <v>43.012819999999998</v>
      </c>
      <c r="E140">
        <v>43.064102564102498</v>
      </c>
      <c r="F140" s="8">
        <v>22.098684210526301</v>
      </c>
      <c r="G140" s="18">
        <v>4.8512240785761803E-9</v>
      </c>
      <c r="H140" s="8" t="b">
        <f t="shared" si="4"/>
        <v>0</v>
      </c>
    </row>
    <row r="141" spans="2:8" x14ac:dyDescent="0.3">
      <c r="B141" s="13">
        <v>44091.666678240741</v>
      </c>
      <c r="C141" s="8" t="s">
        <v>145</v>
      </c>
      <c r="D141" t="s">
        <v>12</v>
      </c>
      <c r="E141">
        <v>-1.3958470665787699</v>
      </c>
      <c r="F141" s="8">
        <v>22.289473684210499</v>
      </c>
      <c r="G141" s="18">
        <v>1.7534222463885099E-8</v>
      </c>
      <c r="H141" s="8" t="b">
        <f t="shared" si="4"/>
        <v>0</v>
      </c>
    </row>
    <row r="142" spans="2:8" x14ac:dyDescent="0.3">
      <c r="B142" s="13">
        <v>44091.666689814818</v>
      </c>
      <c r="C142" s="8" t="s">
        <v>146</v>
      </c>
      <c r="D142">
        <v>47.166663999999997</v>
      </c>
      <c r="E142">
        <v>49.366666666666603</v>
      </c>
      <c r="F142" s="8">
        <v>22.7846153846153</v>
      </c>
      <c r="G142" s="18">
        <v>1.4665678975173099E-8</v>
      </c>
      <c r="H142" s="8" t="b">
        <f t="shared" si="4"/>
        <v>0</v>
      </c>
    </row>
    <row r="143" spans="2:8" x14ac:dyDescent="0.3">
      <c r="B143" s="13">
        <v>44091.666678240741</v>
      </c>
      <c r="C143" s="8" t="s">
        <v>147</v>
      </c>
      <c r="D143">
        <v>12.030400999999999</v>
      </c>
      <c r="E143">
        <v>12.334419109663401</v>
      </c>
      <c r="F143" s="8">
        <v>23.183673469387699</v>
      </c>
      <c r="G143" s="18">
        <v>-5.53056174822326E-9</v>
      </c>
      <c r="H143" s="8" t="b">
        <f t="shared" si="4"/>
        <v>0</v>
      </c>
    </row>
    <row r="144" spans="2:8" x14ac:dyDescent="0.3">
      <c r="B144" s="13">
        <v>44091.666678240741</v>
      </c>
      <c r="C144" s="8" t="s">
        <v>148</v>
      </c>
      <c r="D144" t="s">
        <v>12</v>
      </c>
      <c r="E144">
        <v>-32.723146747352402</v>
      </c>
      <c r="F144" s="8">
        <v>25.151162790697601</v>
      </c>
      <c r="G144" s="18">
        <v>2.8823078004455199E-8</v>
      </c>
      <c r="H144" s="8" t="b">
        <f t="shared" ref="H144:H172" si="5">G144 &gt;$G$5</f>
        <v>0</v>
      </c>
    </row>
    <row r="145" spans="2:8" x14ac:dyDescent="0.3">
      <c r="B145" s="13">
        <v>44091.666678240741</v>
      </c>
      <c r="C145" s="8" t="s">
        <v>149</v>
      </c>
      <c r="D145" t="s">
        <v>12</v>
      </c>
      <c r="E145">
        <v>-9.5619987661936996</v>
      </c>
      <c r="F145" s="8">
        <v>25.4098360655737</v>
      </c>
      <c r="G145" s="18">
        <v>5.8376373233104502E-9</v>
      </c>
      <c r="H145" s="8" t="b">
        <f t="shared" si="5"/>
        <v>0</v>
      </c>
    </row>
    <row r="146" spans="2:8" x14ac:dyDescent="0.3">
      <c r="B146" s="13">
        <v>44091.666678240741</v>
      </c>
      <c r="C146" s="8" t="s">
        <v>150</v>
      </c>
      <c r="D146" t="s">
        <v>12</v>
      </c>
      <c r="E146">
        <v>-71.033210332103295</v>
      </c>
      <c r="F146" s="8">
        <v>25.6666666666666</v>
      </c>
      <c r="G146" s="18">
        <v>1.7871689323756301E-8</v>
      </c>
      <c r="H146" s="8" t="b">
        <f t="shared" si="5"/>
        <v>0</v>
      </c>
    </row>
    <row r="147" spans="2:8" x14ac:dyDescent="0.3">
      <c r="B147" s="13">
        <v>44091.666678240741</v>
      </c>
      <c r="C147" s="8" t="s">
        <v>151</v>
      </c>
      <c r="D147">
        <v>107.09677000000001</v>
      </c>
      <c r="E147">
        <v>106.61290322580599</v>
      </c>
      <c r="F147" s="8">
        <v>26.44</v>
      </c>
      <c r="G147" s="18">
        <v>1.4464171710961801E-8</v>
      </c>
      <c r="H147" s="8" t="b">
        <f t="shared" si="5"/>
        <v>0</v>
      </c>
    </row>
    <row r="148" spans="2:8" x14ac:dyDescent="0.3">
      <c r="B148" s="13">
        <v>44091.666678240741</v>
      </c>
      <c r="C148" s="8" t="s">
        <v>152</v>
      </c>
      <c r="D148" t="s">
        <v>12</v>
      </c>
      <c r="E148">
        <v>-4.3580645161290299</v>
      </c>
      <c r="F148" s="8">
        <v>28.1458333333333</v>
      </c>
      <c r="G148" s="18">
        <v>7.0387447600592497E-8</v>
      </c>
      <c r="H148" s="8" t="b">
        <f t="shared" si="5"/>
        <v>1</v>
      </c>
    </row>
    <row r="149" spans="2:8" x14ac:dyDescent="0.3">
      <c r="B149" s="13">
        <v>44091.666689814818</v>
      </c>
      <c r="C149" s="8" t="s">
        <v>153</v>
      </c>
      <c r="D149" t="s">
        <v>12</v>
      </c>
      <c r="E149">
        <v>-16.652989449003499</v>
      </c>
      <c r="F149" s="8">
        <v>28.41</v>
      </c>
      <c r="G149" s="18">
        <v>2.8234619008162799E-9</v>
      </c>
      <c r="H149" s="8" t="b">
        <f t="shared" si="5"/>
        <v>0</v>
      </c>
    </row>
    <row r="150" spans="2:8" x14ac:dyDescent="0.3">
      <c r="B150" s="13">
        <v>44091.666678240741</v>
      </c>
      <c r="C150" s="8" t="s">
        <v>154</v>
      </c>
      <c r="D150" t="s">
        <v>12</v>
      </c>
      <c r="E150">
        <v>-20.297297297297298</v>
      </c>
      <c r="F150" s="8">
        <v>31.2916666666666</v>
      </c>
      <c r="G150" s="18">
        <v>2.1963288194833898E-9</v>
      </c>
      <c r="H150" s="8" t="b">
        <f t="shared" si="5"/>
        <v>0</v>
      </c>
    </row>
    <row r="151" spans="2:8" x14ac:dyDescent="0.3">
      <c r="B151" s="13">
        <v>44091.666678240741</v>
      </c>
      <c r="C151" s="8" t="s">
        <v>155</v>
      </c>
      <c r="D151">
        <v>151.42857000000001</v>
      </c>
      <c r="E151">
        <v>157.44897959183601</v>
      </c>
      <c r="F151" s="8">
        <v>35.068181818181799</v>
      </c>
      <c r="G151" s="18">
        <v>5.9194643944539698E-8</v>
      </c>
      <c r="H151" s="8" t="b">
        <f t="shared" si="5"/>
        <v>1</v>
      </c>
    </row>
    <row r="152" spans="2:8" x14ac:dyDescent="0.3">
      <c r="B152" s="13">
        <v>44091.666678240741</v>
      </c>
      <c r="C152" s="8" t="s">
        <v>156</v>
      </c>
      <c r="D152">
        <v>217.38905</v>
      </c>
      <c r="E152">
        <v>220.79634464751899</v>
      </c>
      <c r="F152" s="8">
        <v>36.293991416308998</v>
      </c>
      <c r="G152" s="18">
        <v>-3.4800937117057898E-9</v>
      </c>
      <c r="H152" s="8" t="b">
        <f t="shared" si="5"/>
        <v>0</v>
      </c>
    </row>
    <row r="153" spans="2:8" x14ac:dyDescent="0.3">
      <c r="B153" s="13">
        <v>44091.666678240741</v>
      </c>
      <c r="C153" s="8" t="s">
        <v>157</v>
      </c>
      <c r="D153" t="s">
        <v>12</v>
      </c>
      <c r="E153">
        <v>-3.4013091641490401</v>
      </c>
      <c r="F153" s="8">
        <v>39.735294117647001</v>
      </c>
      <c r="G153" s="18">
        <v>5.6310159208065299E-9</v>
      </c>
      <c r="H153" s="8" t="b">
        <f t="shared" si="5"/>
        <v>0</v>
      </c>
    </row>
    <row r="154" spans="2:8" x14ac:dyDescent="0.3">
      <c r="B154" s="13">
        <v>44091.666689814818</v>
      </c>
      <c r="C154" s="8" t="s">
        <v>158</v>
      </c>
      <c r="D154">
        <v>38.510100000000001</v>
      </c>
      <c r="E154">
        <v>37.651515151515099</v>
      </c>
      <c r="F154" s="8">
        <v>41.4166666666666</v>
      </c>
      <c r="G154" s="18">
        <v>2.07479214589082E-8</v>
      </c>
      <c r="H154" s="8" t="b">
        <f t="shared" si="5"/>
        <v>0</v>
      </c>
    </row>
    <row r="155" spans="2:8" x14ac:dyDescent="0.3">
      <c r="B155" s="13">
        <v>44091.666678240741</v>
      </c>
      <c r="C155" s="8" t="s">
        <v>159</v>
      </c>
      <c r="D155" t="s">
        <v>12</v>
      </c>
      <c r="E155">
        <v>-5.1596516690856298</v>
      </c>
      <c r="F155" s="8">
        <v>47.4</v>
      </c>
      <c r="G155" s="18">
        <v>8.2236406499816897E-8</v>
      </c>
      <c r="H155" s="8" t="b">
        <f t="shared" si="5"/>
        <v>1</v>
      </c>
    </row>
    <row r="156" spans="2:8" x14ac:dyDescent="0.3">
      <c r="B156" s="13">
        <v>44091.666678240741</v>
      </c>
      <c r="C156" s="8" t="s">
        <v>160</v>
      </c>
      <c r="D156" t="s">
        <v>12</v>
      </c>
      <c r="E156">
        <v>-47.807133421400202</v>
      </c>
      <c r="F156" s="8">
        <v>48.905405405405403</v>
      </c>
      <c r="G156" s="18">
        <v>1.8284053767586899E-8</v>
      </c>
      <c r="H156" s="8" t="b">
        <f t="shared" si="5"/>
        <v>0</v>
      </c>
    </row>
    <row r="157" spans="2:8" x14ac:dyDescent="0.3">
      <c r="B157" s="13">
        <v>44091.666689814818</v>
      </c>
      <c r="C157" s="8" t="s">
        <v>161</v>
      </c>
      <c r="D157" t="s">
        <v>12</v>
      </c>
      <c r="E157">
        <v>-104.945054945054</v>
      </c>
      <c r="F157" s="8">
        <v>48.9743589743589</v>
      </c>
      <c r="G157" s="18">
        <v>3.30144330758059E-9</v>
      </c>
      <c r="H157" s="8" t="b">
        <f t="shared" si="5"/>
        <v>0</v>
      </c>
    </row>
    <row r="158" spans="2:8" x14ac:dyDescent="0.3">
      <c r="B158" s="13">
        <v>44091.666678240741</v>
      </c>
      <c r="C158" s="8" t="s">
        <v>162</v>
      </c>
      <c r="D158" t="s">
        <v>12</v>
      </c>
      <c r="E158">
        <v>-10.379746835442999</v>
      </c>
      <c r="F158" s="8">
        <v>59.636363636363598</v>
      </c>
      <c r="G158" s="18">
        <v>1.6486843918370899E-8</v>
      </c>
      <c r="H158" s="8" t="b">
        <f t="shared" si="5"/>
        <v>0</v>
      </c>
    </row>
    <row r="159" spans="2:8" x14ac:dyDescent="0.3">
      <c r="B159" s="13">
        <v>44091.666689814818</v>
      </c>
      <c r="C159" s="8" t="s">
        <v>163</v>
      </c>
      <c r="D159" t="s">
        <v>12</v>
      </c>
      <c r="E159">
        <v>-9.2136357462990599</v>
      </c>
      <c r="F159" s="8">
        <v>62.238532110091697</v>
      </c>
      <c r="G159" s="18">
        <v>1.0118596654990601E-9</v>
      </c>
      <c r="H159" s="8" t="b">
        <f t="shared" si="5"/>
        <v>0</v>
      </c>
    </row>
    <row r="160" spans="2:8" x14ac:dyDescent="0.3">
      <c r="B160" s="13">
        <v>44091.666678240741</v>
      </c>
      <c r="C160" s="8" t="s">
        <v>164</v>
      </c>
      <c r="D160" t="s">
        <v>12</v>
      </c>
      <c r="E160">
        <v>-4.4905990380410996</v>
      </c>
      <c r="F160" s="8">
        <v>73.357142857142804</v>
      </c>
      <c r="G160" s="18">
        <v>2.20721021262159E-8</v>
      </c>
      <c r="H160" s="8" t="b">
        <f t="shared" si="5"/>
        <v>0</v>
      </c>
    </row>
    <row r="161" spans="2:8" x14ac:dyDescent="0.3">
      <c r="B161" s="13">
        <v>44091.666678240741</v>
      </c>
      <c r="C161" s="8" t="s">
        <v>165</v>
      </c>
      <c r="D161" t="s">
        <v>12</v>
      </c>
      <c r="E161">
        <v>-7.3888091822094601</v>
      </c>
      <c r="F161" s="8">
        <v>75.365853658536494</v>
      </c>
      <c r="G161" s="18">
        <v>-9.3423157568692097E-9</v>
      </c>
      <c r="H161" s="8" t="b">
        <f t="shared" si="5"/>
        <v>0</v>
      </c>
    </row>
    <row r="162" spans="2:8" x14ac:dyDescent="0.3">
      <c r="B162" s="13">
        <v>44091.666678240741</v>
      </c>
      <c r="C162" s="8" t="s">
        <v>166</v>
      </c>
      <c r="D162">
        <v>32.534559999999999</v>
      </c>
      <c r="E162">
        <v>44.043778801843303</v>
      </c>
      <c r="F162" s="8">
        <v>76.459999999999994</v>
      </c>
      <c r="G162" s="18">
        <v>7.7912029045890097E-9</v>
      </c>
      <c r="H162" s="8" t="b">
        <f t="shared" si="5"/>
        <v>0</v>
      </c>
    </row>
    <row r="163" spans="2:8" x14ac:dyDescent="0.3">
      <c r="B163" s="13">
        <v>44091.666678240741</v>
      </c>
      <c r="C163" s="8" t="s">
        <v>167</v>
      </c>
      <c r="D163" t="s">
        <v>12</v>
      </c>
      <c r="E163">
        <v>-17.2157772621809</v>
      </c>
      <c r="F163" s="8">
        <v>92.75</v>
      </c>
      <c r="G163" s="18">
        <v>1.37724868153093E-8</v>
      </c>
      <c r="H163" s="8" t="b">
        <f t="shared" si="5"/>
        <v>0</v>
      </c>
    </row>
    <row r="164" spans="2:8" x14ac:dyDescent="0.3">
      <c r="B164" s="13">
        <v>44091.666689814818</v>
      </c>
      <c r="C164" s="8" t="s">
        <v>168</v>
      </c>
      <c r="D164" t="s">
        <v>12</v>
      </c>
      <c r="E164">
        <v>-5.2437956204379503</v>
      </c>
      <c r="F164" s="8">
        <v>99.7777777777777</v>
      </c>
      <c r="G164" s="18">
        <v>1.8755166300410301E-9</v>
      </c>
      <c r="H164" s="8" t="b">
        <f t="shared" si="5"/>
        <v>0</v>
      </c>
    </row>
    <row r="165" spans="2:8" x14ac:dyDescent="0.3">
      <c r="B165" s="13">
        <v>44091.666689814818</v>
      </c>
      <c r="C165" s="8" t="s">
        <v>169</v>
      </c>
      <c r="D165" t="s">
        <v>12</v>
      </c>
      <c r="E165">
        <v>-14.4319775596072</v>
      </c>
      <c r="F165" s="8">
        <v>171.5</v>
      </c>
      <c r="G165" s="18">
        <v>8.7823145262995099E-10</v>
      </c>
      <c r="H165" s="8" t="b">
        <f t="shared" si="5"/>
        <v>0</v>
      </c>
    </row>
    <row r="166" spans="2:8" x14ac:dyDescent="0.3">
      <c r="B166" s="13">
        <v>44091.666689814818</v>
      </c>
      <c r="C166" s="8" t="s">
        <v>170</v>
      </c>
      <c r="D166" t="s">
        <v>12</v>
      </c>
      <c r="E166">
        <v>-8.5626283367556404</v>
      </c>
      <c r="F166" s="8">
        <v>208.5</v>
      </c>
      <c r="G166" s="18">
        <v>-3.1093900141136902E-10</v>
      </c>
      <c r="H166" s="8" t="b">
        <f t="shared" si="5"/>
        <v>0</v>
      </c>
    </row>
    <row r="167" spans="2:8" x14ac:dyDescent="0.3">
      <c r="B167" s="13">
        <v>44091.666689814818</v>
      </c>
      <c r="C167" s="8" t="s">
        <v>171</v>
      </c>
      <c r="D167" t="s">
        <v>12</v>
      </c>
      <c r="E167">
        <v>-72.592592592592595</v>
      </c>
      <c r="F167" s="8">
        <v>275.85185185185099</v>
      </c>
      <c r="G167" s="18">
        <v>1.1211601306579E-9</v>
      </c>
      <c r="H167" s="8" t="b">
        <f t="shared" si="5"/>
        <v>0</v>
      </c>
    </row>
    <row r="168" spans="2:8" x14ac:dyDescent="0.3">
      <c r="B168" s="13">
        <v>44091.666678240741</v>
      </c>
      <c r="C168" s="8" t="s">
        <v>172</v>
      </c>
      <c r="D168" t="s">
        <v>12</v>
      </c>
      <c r="E168">
        <v>-7.5961538461538396</v>
      </c>
      <c r="F168" s="8" t="s">
        <v>173</v>
      </c>
      <c r="G168" s="18">
        <v>9.2832211591945698E-8</v>
      </c>
      <c r="H168" s="8" t="b">
        <f t="shared" si="5"/>
        <v>1</v>
      </c>
    </row>
    <row r="169" spans="2:8" x14ac:dyDescent="0.3">
      <c r="B169" s="13">
        <v>44091.666678240741</v>
      </c>
      <c r="C169" s="8" t="s">
        <v>174</v>
      </c>
      <c r="D169">
        <v>45.193275</v>
      </c>
      <c r="E169">
        <v>44.8403361344537</v>
      </c>
      <c r="F169" s="8" t="s">
        <v>12</v>
      </c>
      <c r="G169" s="18">
        <v>5.2843885754322198E-9</v>
      </c>
      <c r="H169" s="8" t="b">
        <f t="shared" si="5"/>
        <v>0</v>
      </c>
    </row>
    <row r="170" spans="2:8" x14ac:dyDescent="0.3">
      <c r="B170" s="13">
        <v>44091.666678240741</v>
      </c>
      <c r="C170" s="8" t="s">
        <v>175</v>
      </c>
      <c r="D170">
        <v>21.515991</v>
      </c>
      <c r="E170">
        <v>21.395717684377399</v>
      </c>
      <c r="F170" s="8" t="s">
        <v>12</v>
      </c>
      <c r="G170" s="18">
        <v>-7.9381833937036404E-9</v>
      </c>
      <c r="H170" s="8" t="b">
        <f t="shared" si="5"/>
        <v>0</v>
      </c>
    </row>
    <row r="171" spans="2:8" x14ac:dyDescent="0.3">
      <c r="B171" s="13">
        <v>44091.666689814818</v>
      </c>
      <c r="C171" s="8" t="s">
        <v>176</v>
      </c>
      <c r="D171">
        <v>18.049374</v>
      </c>
      <c r="E171">
        <v>18.299721835883101</v>
      </c>
      <c r="F171" s="8" t="s">
        <v>12</v>
      </c>
      <c r="G171" s="18">
        <v>-7.5027356412018499E-8</v>
      </c>
      <c r="H171" s="8" t="b">
        <f t="shared" si="5"/>
        <v>0</v>
      </c>
    </row>
    <row r="172" spans="2:8" x14ac:dyDescent="0.3">
      <c r="B172" s="13">
        <v>44091.666689814818</v>
      </c>
      <c r="C172" s="8" t="s">
        <v>177</v>
      </c>
      <c r="D172" t="s">
        <v>12</v>
      </c>
      <c r="E172">
        <v>-0.93192333113020498</v>
      </c>
      <c r="F172" s="8" t="s">
        <v>12</v>
      </c>
      <c r="G172" s="18">
        <v>-7.9170385913617804E-8</v>
      </c>
      <c r="H172" s="8" t="b">
        <f t="shared" si="5"/>
        <v>0</v>
      </c>
    </row>
  </sheetData>
  <autoFilter ref="B8:G172" xr:uid="{00000000-0009-0000-0000-000000000000}">
    <filterColumn colId="0">
      <filters>
        <dateGroupItem year="2020" dateTimeGrouping="year"/>
      </filters>
    </filterColumn>
    <filterColumn colId="5">
      <filters>
        <filter val="1.00E-08"/>
        <filter val="1.01E-09"/>
        <filter val="1.03E-08"/>
        <filter val="1.12E-09"/>
        <filter val="1.15E-07"/>
        <filter val="1.16E-08"/>
        <filter val="1.18E-07"/>
        <filter val="1.22E-08"/>
        <filter val="1.23E-08"/>
        <filter val="1.25E-08"/>
        <filter val="1.26E-07"/>
        <filter val="1.26E-08"/>
        <filter val="1.29E-08"/>
        <filter val="1.34E-08"/>
        <filter val="1.35E-08"/>
        <filter val="1.36E-08"/>
        <filter val="1.38E-08"/>
        <filter val="1.40E-09"/>
        <filter val="1.41E-08"/>
        <filter val="1.42E-08"/>
        <filter val="1.42E-09"/>
        <filter val="1.45E-08"/>
        <filter val="1.45E-09"/>
        <filter val="1.47E-08"/>
        <filter val="1.54E-08"/>
        <filter val="1.56E-08"/>
        <filter val="1.57E-08"/>
        <filter val="1.65E-08"/>
        <filter val="1.67E-08"/>
        <filter val="1.74E-08"/>
        <filter val="1.75E-08"/>
        <filter val="1.77E-08"/>
        <filter val="1.78E-08"/>
        <filter val="1.79E-08"/>
        <filter val="1.80E-08"/>
        <filter val="1.82E-08"/>
        <filter val="1.83E-08"/>
        <filter val="1.84E-09"/>
        <filter val="1.85E-08"/>
        <filter val="1.88E-09"/>
        <filter val="1.90E-08"/>
        <filter val="1.94E-08"/>
        <filter val="-1.95E-08"/>
        <filter val="2.00E-09"/>
        <filter val="2.07E-08"/>
        <filter val="2.18E-08"/>
        <filter val="2.20E-09"/>
        <filter val="2.21E-08"/>
        <filter val="2.23E-08"/>
        <filter val="-2.34E-08"/>
        <filter val="2.36E-08"/>
        <filter val="2.43E-09"/>
        <filter val="2.44E-09"/>
        <filter val="2.47E-08"/>
        <filter val="-2.68E-10"/>
        <filter val="2.79E-08"/>
        <filter val="2.82E-09"/>
        <filter val="2.84E-06"/>
        <filter val="2.85E-08"/>
        <filter val="2.88E-08"/>
        <filter val="2.96E-08"/>
        <filter val="3.01E-08"/>
        <filter val="-3.11E-10"/>
        <filter val="3.20E-08"/>
        <filter val="3.26E-08"/>
        <filter val="3.30E-09"/>
        <filter val="3.32E-08"/>
        <filter val="3.38E-08"/>
        <filter val="3.40E-08"/>
        <filter val="-3.48E-09"/>
        <filter val="3.51E-09"/>
        <filter val="3.52E-09"/>
        <filter val="3.54E-08"/>
        <filter val="3.58E-08"/>
        <filter val="3.63E-08"/>
        <filter val="3.65E-08"/>
        <filter val="3.76E-08"/>
        <filter val="3.84E-08"/>
        <filter val="3.86E-08"/>
        <filter val="3.95E-09"/>
        <filter val="4.01E-09"/>
        <filter val="4.04E-08"/>
        <filter val="4.11E-08"/>
        <filter val="-4.27E-09"/>
        <filter val="4.29E-08"/>
        <filter val="4.40E-08"/>
        <filter val="-4.41E-09"/>
        <filter val="4.47E-09"/>
        <filter val="4.52E-08"/>
        <filter val="4.80E-08"/>
        <filter val="4.85E-09"/>
        <filter val="-4.97E-10"/>
        <filter val="5.19E-08"/>
        <filter val="-5.24E-09"/>
        <filter val="5.28E-09"/>
        <filter val="5.31E-09"/>
        <filter val="5.48E-09"/>
        <filter val="-5.53E-09"/>
        <filter val="5.63E-09"/>
        <filter val="-5.64E-10"/>
        <filter val="5.66E-09"/>
        <filter val="5.68E-08"/>
        <filter val="5.68E-09"/>
        <filter val="5.73E-08"/>
        <filter val="5.80E-09"/>
        <filter val="5.84E-09"/>
        <filter val="5.85E-08"/>
        <filter val="5.92E-08"/>
        <filter val="5.95E-09"/>
        <filter val="6.00E-08"/>
        <filter val="6.18E-09"/>
        <filter val="6.25E-09"/>
        <filter val="6.35E-09"/>
        <filter val="6.38E-08"/>
        <filter val="-6.88E-09"/>
        <filter val="6.91E-11"/>
        <filter val="-7.03E-09"/>
        <filter val="7.04E-08"/>
        <filter val="7.28E-09"/>
        <filter val="7.32E-09"/>
        <filter val="7.41E-09"/>
        <filter val="-7.50E-08"/>
        <filter val="7.57E-08"/>
        <filter val="7.65E-09"/>
        <filter val="7.78E-09"/>
        <filter val="7.79E-09"/>
        <filter val="7.86E-08"/>
        <filter val="-7.92E-08"/>
        <filter val="7.93E-09"/>
        <filter val="-7.94E-09"/>
        <filter val="8.01E-09"/>
        <filter val="8.22E-08"/>
        <filter val="8.29E-08"/>
        <filter val="8.34E-08"/>
        <filter val="8.75E-09"/>
        <filter val="8.78E-10"/>
        <filter val="9.01E-09"/>
        <filter val="9.22E-09"/>
        <filter val="9.28E-08"/>
        <filter val="-9.34E-09"/>
        <filter val="9.56E-09"/>
        <filter val="9.62E-08"/>
        <filter val="9.80E-09"/>
        <filter val="9.82E-09"/>
        <filter val="9.84E-09"/>
      </filters>
    </filterColumn>
    <sortState xmlns:xlrd2="http://schemas.microsoft.com/office/spreadsheetml/2017/richdata2" ref="B16:G172">
      <sortCondition ref="F8:F17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4"/>
  <sheetViews>
    <sheetView showGridLines="0" zoomScale="145" zoomScaleNormal="145" workbookViewId="0"/>
  </sheetViews>
  <sheetFormatPr defaultRowHeight="14.4" outlineLevelRow="1" x14ac:dyDescent="0.3"/>
  <cols>
    <col min="1" max="1" width="2.6640625" customWidth="1"/>
    <col min="2" max="5" width="12.6640625" customWidth="1"/>
  </cols>
  <sheetData>
    <row r="2" spans="2:15" s="5" customFormat="1" ht="18" x14ac:dyDescent="0.35">
      <c r="B2" s="6" t="s">
        <v>178</v>
      </c>
      <c r="C2" s="6"/>
      <c r="D2" s="6"/>
      <c r="E2" s="6"/>
      <c r="F2" s="6"/>
      <c r="G2" s="6"/>
      <c r="H2" s="6"/>
      <c r="I2" s="6"/>
      <c r="J2" s="6"/>
      <c r="K2" s="6"/>
      <c r="L2"/>
      <c r="M2"/>
      <c r="N2"/>
      <c r="O2"/>
    </row>
    <row r="4" spans="2:15" x14ac:dyDescent="0.3">
      <c r="B4" s="4" t="s">
        <v>869</v>
      </c>
      <c r="C4" s="4"/>
      <c r="D4" s="4"/>
      <c r="E4" s="4"/>
    </row>
    <row r="5" spans="2:15" ht="28.8" x14ac:dyDescent="0.3">
      <c r="B5" s="2" t="s">
        <v>179</v>
      </c>
      <c r="C5" s="2" t="str">
        <f>Screening!C8</f>
        <v>Ticker</v>
      </c>
      <c r="D5" s="2" t="str">
        <f>Screening!F8</f>
        <v>Forward P/E Ratio</v>
      </c>
      <c r="E5" s="2" t="str">
        <f>Screening!G8</f>
        <v>Book to Market</v>
      </c>
    </row>
    <row r="6" spans="2:15" x14ac:dyDescent="0.3">
      <c r="B6" s="7">
        <v>1</v>
      </c>
      <c r="C6" s="7" t="str">
        <f>Screening!C41</f>
        <v>CATO</v>
      </c>
      <c r="D6" s="7">
        <f>Screening!F41</f>
        <v>6.6923076923076898</v>
      </c>
      <c r="E6" s="7">
        <f>Screening!G41</f>
        <v>5.7329122400642199E-8</v>
      </c>
    </row>
    <row r="7" spans="2:15" x14ac:dyDescent="0.3">
      <c r="B7" s="8">
        <f>B6 + 1</f>
        <v>2</v>
      </c>
      <c r="C7" s="8" t="str">
        <f>Screening!C42</f>
        <v>GPI</v>
      </c>
      <c r="D7" s="8">
        <f>Screening!F42</f>
        <v>6.8128262490678599</v>
      </c>
      <c r="E7" s="8">
        <f>Screening!G42</f>
        <v>4.10695593879942E-8</v>
      </c>
    </row>
    <row r="8" spans="2:15" x14ac:dyDescent="0.3">
      <c r="B8" s="8">
        <f t="shared" ref="B8:B10" si="0">B7 + 1</f>
        <v>3</v>
      </c>
      <c r="C8" s="8" t="str">
        <f>Screening!C43</f>
        <v>GIII</v>
      </c>
      <c r="D8" s="8">
        <f>Screening!F43</f>
        <v>6.8858447488584398</v>
      </c>
      <c r="E8" s="8">
        <f>Screening!G43</f>
        <v>3.5834387966182203E-8</v>
      </c>
    </row>
    <row r="9" spans="2:15" x14ac:dyDescent="0.3">
      <c r="B9" s="8">
        <f t="shared" si="0"/>
        <v>4</v>
      </c>
      <c r="C9" s="8" t="str">
        <f>Screening!C47</f>
        <v>GCO</v>
      </c>
      <c r="D9" s="8">
        <f>Screening!F47</f>
        <v>7.4143646408839698</v>
      </c>
      <c r="E9" s="8">
        <f>Screening!G47</f>
        <v>7.5675621685965394E-8</v>
      </c>
    </row>
    <row r="10" spans="2:15" hidden="1" outlineLevel="1" x14ac:dyDescent="0.3">
      <c r="B10" s="71">
        <f t="shared" si="0"/>
        <v>5</v>
      </c>
      <c r="C10" s="71" t="str">
        <f>Screening!C51</f>
        <v>RICK</v>
      </c>
      <c r="D10" s="71">
        <f>Screening!F51</f>
        <v>7.7692307692307603</v>
      </c>
      <c r="E10" s="71">
        <f>Screening!G51</f>
        <v>9.6220051995018401E-8</v>
      </c>
    </row>
    <row r="11" spans="2:15" collapsed="1" x14ac:dyDescent="0.3"/>
    <row r="12" spans="2:15" x14ac:dyDescent="0.3">
      <c r="B12" s="9" t="s">
        <v>180</v>
      </c>
    </row>
    <row r="13" spans="2:15" x14ac:dyDescent="0.3">
      <c r="B13" s="9" t="s">
        <v>181</v>
      </c>
    </row>
    <row r="14" spans="2:15" x14ac:dyDescent="0.3">
      <c r="B14" s="9" t="str">
        <f>"*** Note that MHO would rank #4, AAN #56 (as of " &amp; TEXT(MAX(Screening!$B:$B), "mm/dd/yyyy") &amp; ")."</f>
        <v>*** Note that MHO would rank #4, AAN #56 (as of 09/17/2020).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C1E7-7446-42B1-B92E-A837D8237084}">
  <sheetPr>
    <tabColor theme="4"/>
  </sheetPr>
  <dimension ref="B1:AJ161"/>
  <sheetViews>
    <sheetView showGridLines="0" zoomScale="89" zoomScaleNormal="89" workbookViewId="0">
      <pane xSplit="3" ySplit="40" topLeftCell="D41" activePane="bottomRight" state="frozen"/>
      <selection activeCell="B1" sqref="B1:B1048576"/>
      <selection pane="topRight" activeCell="B1" sqref="B1:B1048576"/>
      <selection pane="bottomLeft" activeCell="B1" sqref="B1:B1048576"/>
      <selection pane="bottomRight"/>
    </sheetView>
  </sheetViews>
  <sheetFormatPr defaultColWidth="9.109375" defaultRowHeight="14.4" outlineLevelRow="2" outlineLevelCol="1" x14ac:dyDescent="0.3"/>
  <cols>
    <col min="1" max="1" width="2.6640625" style="24" customWidth="1"/>
    <col min="2" max="2" width="50" style="24" customWidth="1"/>
    <col min="3" max="3" width="2.6640625" customWidth="1"/>
    <col min="4" max="7" width="12.6640625" style="32" customWidth="1"/>
    <col min="8" max="8" width="12.6640625" style="129" hidden="1" customWidth="1" outlineLevel="1"/>
    <col min="9" max="9" width="12.6640625" style="111" hidden="1" customWidth="1" outlineLevel="1"/>
    <col min="10" max="10" width="12.6640625" style="93" hidden="1" customWidth="1" outlineLevel="1"/>
    <col min="11" max="11" width="2.6640625" customWidth="1" collapsed="1"/>
    <col min="12" max="25" width="12.6640625" style="32" customWidth="1"/>
    <col min="26" max="27" width="2.6640625" style="24" customWidth="1"/>
    <col min="28" max="34" width="12" style="24" customWidth="1"/>
    <col min="35" max="35" width="29.44140625" style="24" bestFit="1" customWidth="1"/>
    <col min="36" max="194" width="12" style="24" customWidth="1"/>
    <col min="195" max="16384" width="9.109375" style="24"/>
  </cols>
  <sheetData>
    <row r="1" spans="2:35" ht="6.9" customHeight="1" x14ac:dyDescent="0.3">
      <c r="AH1"/>
      <c r="AI1"/>
    </row>
    <row r="2" spans="2:35" x14ac:dyDescent="0.3">
      <c r="AH2"/>
      <c r="AI2"/>
    </row>
    <row r="3" spans="2:35" x14ac:dyDescent="0.3">
      <c r="Z3" s="32"/>
      <c r="AA3" s="32"/>
      <c r="AB3" s="32"/>
      <c r="AH3"/>
      <c r="AI3"/>
    </row>
    <row r="4" spans="2:35" x14ac:dyDescent="0.3">
      <c r="AH4"/>
      <c r="AI4"/>
    </row>
    <row r="5" spans="2:35" ht="6.9" customHeight="1" x14ac:dyDescent="0.3">
      <c r="AH5"/>
      <c r="AI5"/>
    </row>
    <row r="6" spans="2:35" s="36" customFormat="1" ht="22.8" x14ac:dyDescent="0.4">
      <c r="B6" s="37" t="s">
        <v>182</v>
      </c>
      <c r="C6" s="37"/>
      <c r="D6" s="37"/>
      <c r="E6" s="37"/>
      <c r="F6" s="37"/>
      <c r="G6" s="37"/>
      <c r="H6" s="130"/>
      <c r="I6" s="112"/>
      <c r="J6" s="94"/>
      <c r="K6" s="37"/>
      <c r="L6" s="37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AH6"/>
      <c r="AI6"/>
    </row>
    <row r="7" spans="2:35" s="58" customFormat="1" x14ac:dyDescent="0.3">
      <c r="C7" s="3"/>
      <c r="D7" s="59"/>
      <c r="E7" s="59"/>
      <c r="F7" s="59"/>
      <c r="G7" s="59"/>
      <c r="H7" s="131"/>
      <c r="I7" s="113"/>
      <c r="J7" s="95"/>
      <c r="K7" s="3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AH7"/>
      <c r="AI7"/>
    </row>
    <row r="8" spans="2:35" s="27" customFormat="1" ht="15" hidden="1" customHeight="1" outlineLevel="1" x14ac:dyDescent="0.3">
      <c r="B8" s="56" t="s">
        <v>183</v>
      </c>
      <c r="C8"/>
      <c r="D8" s="63">
        <f>D39</f>
        <v>44469</v>
      </c>
      <c r="E8" s="63">
        <f t="shared" ref="E8:G8" si="0">E39</f>
        <v>44377</v>
      </c>
      <c r="F8" s="63">
        <f t="shared" si="0"/>
        <v>44286</v>
      </c>
      <c r="G8" s="63">
        <f t="shared" si="0"/>
        <v>44104</v>
      </c>
      <c r="H8" s="132" t="s">
        <v>184</v>
      </c>
      <c r="I8" s="114" t="s">
        <v>185</v>
      </c>
      <c r="J8" s="96" t="s">
        <v>186</v>
      </c>
      <c r="K8" s="63"/>
      <c r="L8" s="63">
        <f t="shared" ref="L8:V8" si="1">L39</f>
        <v>44012</v>
      </c>
      <c r="M8" s="63">
        <f t="shared" si="1"/>
        <v>43921</v>
      </c>
      <c r="N8" s="63">
        <f t="shared" si="1"/>
        <v>43738</v>
      </c>
      <c r="O8" s="63">
        <f t="shared" si="1"/>
        <v>43646</v>
      </c>
      <c r="P8" s="63">
        <f t="shared" si="1"/>
        <v>43555</v>
      </c>
      <c r="Q8" s="63">
        <f t="shared" si="1"/>
        <v>43373</v>
      </c>
      <c r="R8" s="63">
        <f t="shared" si="1"/>
        <v>43281</v>
      </c>
      <c r="S8" s="63">
        <f t="shared" si="1"/>
        <v>43190</v>
      </c>
      <c r="T8" s="63">
        <f t="shared" si="1"/>
        <v>43008</v>
      </c>
      <c r="U8" s="63">
        <f t="shared" si="1"/>
        <v>42916</v>
      </c>
      <c r="V8" s="63">
        <f t="shared" si="1"/>
        <v>42825</v>
      </c>
      <c r="W8" s="63" t="s">
        <v>187</v>
      </c>
      <c r="X8"/>
      <c r="Y8"/>
      <c r="AH8"/>
      <c r="AI8"/>
    </row>
    <row r="9" spans="2:35" ht="15" hidden="1" customHeight="1" outlineLevel="2" x14ac:dyDescent="0.3">
      <c r="B9" s="30" t="s">
        <v>188</v>
      </c>
      <c r="D9" s="60">
        <f>AVERAGE(N9, Q9)</f>
        <v>0.17123076903229606</v>
      </c>
      <c r="E9" s="60">
        <f>AVERAGE(L9, O9, R9)</f>
        <v>0.16140588952888138</v>
      </c>
      <c r="F9" s="60">
        <f>AVERAGE(M9, P9, S9)</f>
        <v>0.12507182603559422</v>
      </c>
      <c r="G9" s="60">
        <f>AVERAGE(N9, Q9, T9)</f>
        <v>0.13973709497888467</v>
      </c>
      <c r="H9" s="134"/>
      <c r="I9" s="116"/>
      <c r="J9" s="90"/>
      <c r="L9" s="60">
        <f t="shared" ref="L9:V9" si="2">IFERROR(L42 / O42 - 1, 0)</f>
        <v>0.14511789586426493</v>
      </c>
      <c r="M9" s="60">
        <f t="shared" si="2"/>
        <v>0.20056577615467597</v>
      </c>
      <c r="N9" s="60">
        <f t="shared" si="2"/>
        <v>0.15057533609701279</v>
      </c>
      <c r="O9" s="60">
        <f t="shared" si="2"/>
        <v>0.11752057882307398</v>
      </c>
      <c r="P9" s="60">
        <f t="shared" si="2"/>
        <v>9.8781108900851233E-2</v>
      </c>
      <c r="Q9" s="60">
        <f t="shared" si="2"/>
        <v>0.19188620196757933</v>
      </c>
      <c r="R9" s="60">
        <f t="shared" si="2"/>
        <v>0.22157919389930525</v>
      </c>
      <c r="S9" s="60">
        <f t="shared" si="2"/>
        <v>7.5868593051255484E-2</v>
      </c>
      <c r="T9" s="60">
        <f t="shared" si="2"/>
        <v>7.674974687206193E-2</v>
      </c>
      <c r="U9" s="60">
        <f t="shared" si="2"/>
        <v>0.13861536659464124</v>
      </c>
      <c r="V9" s="60">
        <f t="shared" si="2"/>
        <v>0.25467829947282428</v>
      </c>
      <c r="W9"/>
      <c r="X9"/>
      <c r="Y9"/>
      <c r="AH9"/>
      <c r="AI9"/>
    </row>
    <row r="10" spans="2:35" ht="15" hidden="1" customHeight="1" outlineLevel="2" x14ac:dyDescent="0.3">
      <c r="B10" s="30" t="str">
        <f>B43 &amp; " as % of Revenue"</f>
        <v>Land &amp; housing expenses as % of Revenue</v>
      </c>
      <c r="D10" s="60">
        <f>AVERAGE(N10, Q10)</f>
        <v>0.79533586282943669</v>
      </c>
      <c r="E10" s="60">
        <f t="shared" ref="E10" si="3">AVERAGE(L10, O10, R10)</f>
        <v>0.79799919808960196</v>
      </c>
      <c r="F10" s="60">
        <f t="shared" ref="F10" si="4">AVERAGE(M10, P10, S10)</f>
        <v>0.80060616327665846</v>
      </c>
      <c r="G10" s="60">
        <f>AVERAGE(N10, Q10, T10)</f>
        <v>0.7923670040794123</v>
      </c>
      <c r="H10" s="134"/>
      <c r="I10" s="116"/>
      <c r="J10" s="90"/>
      <c r="L10" s="60">
        <f>L43 / L$42</f>
        <v>0.78100768138628995</v>
      </c>
      <c r="M10" s="60">
        <f t="shared" ref="M10:V10" si="5">M43 / M$42</f>
        <v>0.79799447025032766</v>
      </c>
      <c r="N10" s="60">
        <f t="shared" si="5"/>
        <v>0.79462458578545792</v>
      </c>
      <c r="O10" s="60">
        <f t="shared" si="5"/>
        <v>0.80786966518408299</v>
      </c>
      <c r="P10" s="60">
        <f t="shared" si="5"/>
        <v>0.8074407254904814</v>
      </c>
      <c r="Q10" s="60">
        <f t="shared" si="5"/>
        <v>0.79604713987341547</v>
      </c>
      <c r="R10" s="60">
        <f t="shared" si="5"/>
        <v>0.80512024769843293</v>
      </c>
      <c r="S10" s="60">
        <f t="shared" si="5"/>
        <v>0.79638329408916608</v>
      </c>
      <c r="T10" s="60">
        <f t="shared" si="5"/>
        <v>0.78642928657936328</v>
      </c>
      <c r="U10" s="60">
        <f t="shared" si="5"/>
        <v>0.80460791566892698</v>
      </c>
      <c r="V10" s="60">
        <f t="shared" si="5"/>
        <v>0.78696987566956611</v>
      </c>
      <c r="W10"/>
      <c r="X10"/>
      <c r="Y10"/>
      <c r="AH10"/>
      <c r="AI10"/>
    </row>
    <row r="11" spans="2:35" ht="15" hidden="1" customHeight="1" outlineLevel="2" x14ac:dyDescent="0.3">
      <c r="B11" s="30" t="str">
        <f t="shared" ref="B11:B12" si="6">B44 &amp; " as % of Revenue"</f>
        <v>General &amp; administrative expense as % of Revenue</v>
      </c>
      <c r="D11" s="60">
        <f>AVERAGE(N11, Q11)</f>
        <v>6.2629834295794329E-2</v>
      </c>
      <c r="E11" s="60">
        <f t="shared" ref="E11" si="7">AVERAGE(L11, O11, R11)</f>
        <v>5.9186007662467559E-2</v>
      </c>
      <c r="F11" s="60">
        <f t="shared" ref="F11" si="8">AVERAGE(M11, P11, S11)</f>
        <v>6.2081269099313163E-2</v>
      </c>
      <c r="G11" s="60">
        <f>AVERAGE(N11, Q11, T11)</f>
        <v>6.3678416791667927E-2</v>
      </c>
      <c r="H11" s="134"/>
      <c r="I11" s="116"/>
      <c r="J11" s="90"/>
      <c r="L11" s="60">
        <f t="shared" ref="L11:V11" si="9">L44 / L$42</f>
        <v>5.7459177758424185E-2</v>
      </c>
      <c r="M11" s="60">
        <f t="shared" si="9"/>
        <v>5.859907237323906E-2</v>
      </c>
      <c r="N11" s="60">
        <f t="shared" si="9"/>
        <v>6.0282086799470419E-2</v>
      </c>
      <c r="O11" s="60">
        <f t="shared" si="9"/>
        <v>5.7984306205366161E-2</v>
      </c>
      <c r="P11" s="60">
        <f t="shared" si="9"/>
        <v>6.3808825027176788E-2</v>
      </c>
      <c r="Q11" s="60">
        <f t="shared" si="9"/>
        <v>6.4977581792118225E-2</v>
      </c>
      <c r="R11" s="60">
        <f t="shared" si="9"/>
        <v>6.2114539023612338E-2</v>
      </c>
      <c r="S11" s="60">
        <f t="shared" si="9"/>
        <v>6.3835909897523621E-2</v>
      </c>
      <c r="T11" s="60">
        <f t="shared" si="9"/>
        <v>6.5775581783415152E-2</v>
      </c>
      <c r="U11" s="60">
        <f t="shared" si="9"/>
        <v>6.5909916693297377E-2</v>
      </c>
      <c r="V11" s="60">
        <f t="shared" si="9"/>
        <v>6.8209740036365429E-2</v>
      </c>
      <c r="W11"/>
      <c r="X11"/>
      <c r="Y11"/>
      <c r="AH11"/>
      <c r="AI11"/>
    </row>
    <row r="12" spans="2:35" ht="15" hidden="1" customHeight="1" outlineLevel="2" x14ac:dyDescent="0.3">
      <c r="B12" s="30" t="str">
        <f t="shared" si="6"/>
        <v>Selling expenses as % of Revenue</v>
      </c>
      <c r="D12" s="60">
        <f>AVERAGE(N12, Q12)</f>
        <v>6.1590176577110634E-2</v>
      </c>
      <c r="E12" s="60">
        <f t="shared" ref="E12" si="10">AVERAGE(L12, O12, R12)</f>
        <v>6.0468865309290208E-2</v>
      </c>
      <c r="F12" s="60">
        <f t="shared" ref="F12" si="11">AVERAGE(M12, P12, S12)</f>
        <v>6.5999730879214014E-2</v>
      </c>
      <c r="G12" s="60">
        <f>AVERAGE(N12, Q12, T12)</f>
        <v>6.28446803161571E-2</v>
      </c>
      <c r="H12" s="134"/>
      <c r="I12" s="116"/>
      <c r="J12" s="90"/>
      <c r="L12" s="60">
        <f t="shared" ref="L12:V12" si="12">L45 / L$42</f>
        <v>5.7585193938901755E-2</v>
      </c>
      <c r="M12" s="60">
        <f t="shared" si="12"/>
        <v>6.3760056647905225E-2</v>
      </c>
      <c r="N12" s="60">
        <f t="shared" si="12"/>
        <v>6.1448392503195094E-2</v>
      </c>
      <c r="O12" s="60">
        <f t="shared" si="12"/>
        <v>6.0049447959389823E-2</v>
      </c>
      <c r="P12" s="60">
        <f t="shared" si="12"/>
        <v>6.5579733490747416E-2</v>
      </c>
      <c r="Q12" s="60">
        <f t="shared" si="12"/>
        <v>6.1731960651026166E-2</v>
      </c>
      <c r="R12" s="60">
        <f t="shared" si="12"/>
        <v>6.3771954029579039E-2</v>
      </c>
      <c r="S12" s="60">
        <f t="shared" si="12"/>
        <v>6.86594024989894E-2</v>
      </c>
      <c r="T12" s="60">
        <f t="shared" si="12"/>
        <v>6.5353687794250062E-2</v>
      </c>
      <c r="U12" s="60">
        <f t="shared" si="12"/>
        <v>6.6205408150311035E-2</v>
      </c>
      <c r="V12" s="60">
        <f t="shared" si="12"/>
        <v>6.7037692269890412E-2</v>
      </c>
      <c r="W12"/>
      <c r="X12"/>
      <c r="Y12"/>
      <c r="AH12"/>
      <c r="AI12"/>
    </row>
    <row r="13" spans="2:35" ht="15" hidden="1" customHeight="1" outlineLevel="2" x14ac:dyDescent="0.3">
      <c r="B13" s="30" t="s">
        <v>189</v>
      </c>
      <c r="D13" s="81">
        <f>$I13 + $H13 * D$8</f>
        <v>4.0851537553651396E-3</v>
      </c>
      <c r="E13" s="81">
        <f>$I13 + $H13 * E$8</f>
        <v>4.2581459810387828E-3</v>
      </c>
      <c r="F13" s="81">
        <f>$I13 + $H13 * F$8</f>
        <v>4.4292578564333746E-3</v>
      </c>
      <c r="G13" s="81">
        <f>$I13 + $H13 * G$8</f>
        <v>4.7714816072225441E-3</v>
      </c>
      <c r="H13" s="134">
        <f>SLOPE($L13:$V13, $L$8:$V$8)</f>
        <v>-1.8803502790614156E-6</v>
      </c>
      <c r="I13" s="116">
        <f>INTERCEPT($L13:$V13, $L$8:$V$8)</f>
        <v>8.7702450314947222E-2</v>
      </c>
      <c r="J13" s="90">
        <f>RSQ($L13:$V13, $L$8:$V$8)</f>
        <v>0.3179332217320322</v>
      </c>
      <c r="L13" s="81">
        <f>L49 / SUM(L96:L104)</f>
        <v>3.2130227709414988E-3</v>
      </c>
      <c r="M13" s="81">
        <f t="shared" ref="M13:V13" si="13">M49 / SUM(M96:M104)</f>
        <v>5.8697758994494895E-3</v>
      </c>
      <c r="N13" s="81">
        <f t="shared" si="13"/>
        <v>5.4573743403367875E-3</v>
      </c>
      <c r="O13" s="81">
        <f t="shared" si="13"/>
        <v>6.2715482650969089E-3</v>
      </c>
      <c r="P13" s="81">
        <f t="shared" si="13"/>
        <v>7.7745027900987269E-3</v>
      </c>
      <c r="Q13" s="81">
        <f t="shared" si="13"/>
        <v>5.0317582846092545E-3</v>
      </c>
      <c r="R13" s="81">
        <f t="shared" si="13"/>
        <v>5.9036098013449797E-3</v>
      </c>
      <c r="S13" s="81">
        <f t="shared" si="13"/>
        <v>7.1835445745173591E-3</v>
      </c>
      <c r="T13" s="81">
        <f t="shared" si="13"/>
        <v>6.4594127806563038E-3</v>
      </c>
      <c r="U13" s="81">
        <f t="shared" si="13"/>
        <v>5.7175494767860635E-3</v>
      </c>
      <c r="V13" s="81">
        <f t="shared" si="13"/>
        <v>8.0434084885233001E-3</v>
      </c>
      <c r="W13"/>
      <c r="X13"/>
      <c r="Y13"/>
      <c r="AH13"/>
      <c r="AI13"/>
    </row>
    <row r="14" spans="2:35" ht="15" hidden="1" customHeight="1" outlineLevel="2" x14ac:dyDescent="0.3">
      <c r="B14" s="30" t="s">
        <v>190</v>
      </c>
      <c r="D14" s="80">
        <f>AVERAGE(N14, Q14)</f>
        <v>9.9525996819313494E-3</v>
      </c>
      <c r="E14" s="80">
        <f t="shared" ref="E14" si="14">AVERAGE(L14, O14, R14)</f>
        <v>6.8261051440195565E-3</v>
      </c>
      <c r="F14" s="80">
        <f t="shared" ref="F14" si="15">AVERAGE(M14, P14, S14)</f>
        <v>3.7281145240337303E-3</v>
      </c>
      <c r="G14" s="80">
        <f>AVERAGE(N14, Q14, T14)</f>
        <v>1.0288325793710258E-2</v>
      </c>
      <c r="H14" s="134"/>
      <c r="I14" s="116"/>
      <c r="J14" s="90"/>
      <c r="L14" s="80">
        <f>L123 / SUM(L70,L73,L74)</f>
        <v>6.3564698165078691E-3</v>
      </c>
      <c r="M14" s="80">
        <f t="shared" ref="M14:V14" si="16">M123 / M72</f>
        <v>3.660021948072308E-3</v>
      </c>
      <c r="N14" s="80">
        <f t="shared" si="16"/>
        <v>1.020273440354968E-2</v>
      </c>
      <c r="O14" s="80">
        <f t="shared" si="16"/>
        <v>7.1539864830083401E-3</v>
      </c>
      <c r="P14" s="80">
        <f t="shared" si="16"/>
        <v>3.7344431065939672E-3</v>
      </c>
      <c r="Q14" s="80">
        <f t="shared" si="16"/>
        <v>9.7024649603130193E-3</v>
      </c>
      <c r="R14" s="80">
        <f t="shared" si="16"/>
        <v>6.967859132542463E-3</v>
      </c>
      <c r="S14" s="80">
        <f t="shared" si="16"/>
        <v>3.7898785174349157E-3</v>
      </c>
      <c r="T14" s="80">
        <f t="shared" si="16"/>
        <v>1.0959778017268076E-2</v>
      </c>
      <c r="U14" s="80">
        <f t="shared" si="16"/>
        <v>7.6751902141324766E-3</v>
      </c>
      <c r="V14" s="80">
        <f t="shared" si="16"/>
        <v>4.2338118413090845E-3</v>
      </c>
      <c r="W14"/>
      <c r="X14"/>
      <c r="Y14"/>
      <c r="AH14"/>
      <c r="AI14"/>
    </row>
    <row r="15" spans="2:35" ht="15" hidden="1" customHeight="1" outlineLevel="2" x14ac:dyDescent="0.3">
      <c r="B15" s="30" t="s">
        <v>191</v>
      </c>
      <c r="D15" s="60">
        <f t="shared" ref="D15:F15" si="17">AVERAGE($L$15:$Q$15)</f>
        <v>0.24794328145562228</v>
      </c>
      <c r="E15" s="60">
        <f t="shared" si="17"/>
        <v>0.24794328145562228</v>
      </c>
      <c r="F15" s="60">
        <f t="shared" si="17"/>
        <v>0.24794328145562228</v>
      </c>
      <c r="G15" s="60">
        <f>AVERAGE($L$15:$Q$15)</f>
        <v>0.24794328145562228</v>
      </c>
      <c r="H15" s="134"/>
      <c r="I15" s="116"/>
      <c r="J15" s="90"/>
      <c r="L15" s="60">
        <f>L52 / L51</f>
        <v>0.24008309978946193</v>
      </c>
      <c r="M15" s="60">
        <f t="shared" ref="M15:V15" si="18">M52 / M51</f>
        <v>0.2329584020168719</v>
      </c>
      <c r="N15" s="60">
        <f t="shared" si="18"/>
        <v>0.24471577261809446</v>
      </c>
      <c r="O15" s="60">
        <f t="shared" si="18"/>
        <v>0.26836317323471059</v>
      </c>
      <c r="P15" s="60">
        <f t="shared" si="18"/>
        <v>0.24265418827199528</v>
      </c>
      <c r="Q15" s="60">
        <f t="shared" si="18"/>
        <v>0.25888505280259949</v>
      </c>
      <c r="R15" s="60">
        <f t="shared" si="18"/>
        <v>0.16675073435599205</v>
      </c>
      <c r="S15" s="60">
        <f t="shared" si="18"/>
        <v>0.24986023308820368</v>
      </c>
      <c r="T15" s="60">
        <f t="shared" si="18"/>
        <v>0.35753381019953084</v>
      </c>
      <c r="U15" s="60">
        <f t="shared" si="18"/>
        <v>0.32829961946725417</v>
      </c>
      <c r="V15" s="60">
        <f t="shared" si="18"/>
        <v>0.35937797041937569</v>
      </c>
      <c r="W15"/>
      <c r="X15"/>
      <c r="Y15"/>
      <c r="AH15"/>
      <c r="AI15"/>
    </row>
    <row r="16" spans="2:35" ht="15" hidden="1" customHeight="1" outlineLevel="2" x14ac:dyDescent="0.3">
      <c r="B16" s="30" t="s">
        <v>192</v>
      </c>
      <c r="D16" s="60"/>
      <c r="E16" s="60"/>
      <c r="F16" s="60"/>
      <c r="G16" s="60"/>
      <c r="H16" s="134"/>
      <c r="I16" s="116"/>
      <c r="J16" s="90"/>
      <c r="L16" s="80">
        <f>IFERROR(L60 / O60 - 1, 0)</f>
        <v>3.3539150692357911E-2</v>
      </c>
      <c r="M16" s="80">
        <f t="shared" ref="M16:V16" si="19">IFERROR(M60 / P60 - 1, 0)</f>
        <v>3.4622547946002502E-2</v>
      </c>
      <c r="N16" s="80">
        <f t="shared" si="19"/>
        <v>3.3956125330636411E-4</v>
      </c>
      <c r="O16" s="80">
        <f t="shared" si="19"/>
        <v>-3.3372717293389753E-2</v>
      </c>
      <c r="P16" s="80">
        <f t="shared" si="19"/>
        <v>-3.5071651518419733E-2</v>
      </c>
      <c r="Q16" s="80">
        <f t="shared" si="19"/>
        <v>2.2264423287953639E-2</v>
      </c>
      <c r="R16" s="80">
        <f t="shared" si="19"/>
        <v>0.13807460097276381</v>
      </c>
      <c r="S16" s="80">
        <f t="shared" si="19"/>
        <v>0.1522925056197284</v>
      </c>
      <c r="T16" s="80">
        <f t="shared" si="19"/>
        <v>0.11560332018948771</v>
      </c>
      <c r="U16" s="80">
        <f t="shared" si="19"/>
        <v>1.766273256623041E-2</v>
      </c>
      <c r="V16" s="80">
        <f t="shared" si="19"/>
        <v>5.2334607910051734E-3</v>
      </c>
      <c r="W16"/>
      <c r="X16"/>
      <c r="Y16"/>
      <c r="AH16"/>
      <c r="AI16"/>
    </row>
    <row r="17" spans="2:36" ht="15" hidden="1" customHeight="1" outlineLevel="1" x14ac:dyDescent="0.3">
      <c r="B17" s="30"/>
      <c r="D17" s="61"/>
      <c r="E17" s="61"/>
      <c r="F17" s="61"/>
      <c r="G17" s="61"/>
      <c r="H17" s="133"/>
      <c r="I17" s="115"/>
      <c r="J17" s="97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/>
      <c r="X17"/>
      <c r="Y17"/>
      <c r="AH17"/>
      <c r="AI17"/>
    </row>
    <row r="18" spans="2:36" ht="15" hidden="1" customHeight="1" outlineLevel="2" x14ac:dyDescent="0.3">
      <c r="B18" s="30" t="str">
        <f t="shared" ref="B18:B28" si="20">B66 &amp; " as % of Sales"</f>
        <v>Cash &amp; cash equivalents as % of Sales</v>
      </c>
      <c r="D18" s="60">
        <f t="shared" ref="D18:G20" si="21">$L18</f>
        <v>0</v>
      </c>
      <c r="E18" s="60">
        <f t="shared" si="21"/>
        <v>0</v>
      </c>
      <c r="F18" s="60">
        <f t="shared" si="21"/>
        <v>0</v>
      </c>
      <c r="G18" s="60">
        <f t="shared" si="21"/>
        <v>0</v>
      </c>
      <c r="H18" s="134"/>
      <c r="I18" s="116"/>
      <c r="J18" s="90"/>
      <c r="L18" s="60">
        <f>L66 / L$42</f>
        <v>0</v>
      </c>
      <c r="M18" s="60">
        <f t="shared" ref="M18:V18" si="22">M66 / M$42</f>
        <v>0</v>
      </c>
      <c r="N18" s="60">
        <f t="shared" si="22"/>
        <v>0</v>
      </c>
      <c r="O18" s="60">
        <f t="shared" si="22"/>
        <v>0</v>
      </c>
      <c r="P18" s="60">
        <f t="shared" si="22"/>
        <v>0</v>
      </c>
      <c r="Q18" s="60">
        <f t="shared" si="22"/>
        <v>0</v>
      </c>
      <c r="R18" s="60">
        <f t="shared" si="22"/>
        <v>0</v>
      </c>
      <c r="S18" s="60">
        <f t="shared" si="22"/>
        <v>0</v>
      </c>
      <c r="T18" s="60">
        <f t="shared" si="22"/>
        <v>0</v>
      </c>
      <c r="U18" s="60">
        <f t="shared" si="22"/>
        <v>0</v>
      </c>
      <c r="V18" s="60">
        <f t="shared" si="22"/>
        <v>0</v>
      </c>
      <c r="W18"/>
      <c r="X18"/>
      <c r="Y18"/>
      <c r="AH18"/>
      <c r="AI18"/>
    </row>
    <row r="19" spans="2:36" ht="15" hidden="1" customHeight="1" outlineLevel="2" x14ac:dyDescent="0.3">
      <c r="B19" s="30" t="str">
        <f t="shared" si="20"/>
        <v>Restricted cash as % of Sales</v>
      </c>
      <c r="D19" s="60">
        <f t="shared" si="21"/>
        <v>0</v>
      </c>
      <c r="E19" s="60">
        <f t="shared" si="21"/>
        <v>0</v>
      </c>
      <c r="F19" s="60">
        <f t="shared" si="21"/>
        <v>0</v>
      </c>
      <c r="G19" s="60">
        <f t="shared" si="21"/>
        <v>0</v>
      </c>
      <c r="H19" s="134"/>
      <c r="I19" s="116"/>
      <c r="J19" s="90"/>
      <c r="L19" s="60">
        <f t="shared" ref="L19:V19" si="23">L67 / L$42</f>
        <v>0</v>
      </c>
      <c r="M19" s="60">
        <f t="shared" si="23"/>
        <v>0</v>
      </c>
      <c r="N19" s="60">
        <f t="shared" si="23"/>
        <v>0</v>
      </c>
      <c r="O19" s="60">
        <f t="shared" si="23"/>
        <v>0</v>
      </c>
      <c r="P19" s="60">
        <f t="shared" si="23"/>
        <v>0</v>
      </c>
      <c r="Q19" s="60">
        <f t="shared" si="23"/>
        <v>0</v>
      </c>
      <c r="R19" s="60">
        <f t="shared" si="23"/>
        <v>0</v>
      </c>
      <c r="S19" s="60">
        <f t="shared" si="23"/>
        <v>0</v>
      </c>
      <c r="T19" s="60">
        <f t="shared" si="23"/>
        <v>0</v>
      </c>
      <c r="U19" s="60">
        <f t="shared" si="23"/>
        <v>0</v>
      </c>
      <c r="V19" s="60">
        <f t="shared" si="23"/>
        <v>0</v>
      </c>
      <c r="W19"/>
      <c r="X19"/>
      <c r="Y19"/>
      <c r="AH19"/>
      <c r="AI19"/>
    </row>
    <row r="20" spans="2:36" ht="15" hidden="1" customHeight="1" outlineLevel="2" x14ac:dyDescent="0.3">
      <c r="B20" s="30" t="str">
        <f t="shared" si="20"/>
        <v>Cash, cash equivalents &amp; restricted cash as % of Sales</v>
      </c>
      <c r="D20" s="60">
        <f t="shared" si="21"/>
        <v>0.13164910374492084</v>
      </c>
      <c r="E20" s="60">
        <f t="shared" si="21"/>
        <v>0.13164910374492084</v>
      </c>
      <c r="F20" s="60">
        <f t="shared" si="21"/>
        <v>0.13164910374492084</v>
      </c>
      <c r="G20" s="60">
        <f t="shared" si="21"/>
        <v>0.13164910374492084</v>
      </c>
      <c r="H20" s="134"/>
      <c r="I20" s="116"/>
      <c r="J20" s="90"/>
      <c r="L20" s="60">
        <f t="shared" ref="L20:V20" si="24">L68 / L$42</f>
        <v>0.13164910374492084</v>
      </c>
      <c r="M20" s="60">
        <f t="shared" si="24"/>
        <v>3.6675709786825897E-2</v>
      </c>
      <c r="N20" s="60">
        <f t="shared" si="24"/>
        <v>5.1199595925582965E-2</v>
      </c>
      <c r="O20" s="60">
        <f t="shared" si="24"/>
        <v>3.2697543315065594E-2</v>
      </c>
      <c r="P20" s="60">
        <f t="shared" si="24"/>
        <v>8.7154885899037429E-2</v>
      </c>
      <c r="Q20" s="60">
        <f t="shared" si="24"/>
        <v>6.4031896196477187E-2</v>
      </c>
      <c r="R20" s="60">
        <f t="shared" si="24"/>
        <v>0.1215145010374522</v>
      </c>
      <c r="S20" s="60">
        <f t="shared" si="24"/>
        <v>0.12236186700224046</v>
      </c>
      <c r="T20" s="60">
        <f t="shared" si="24"/>
        <v>0.21752938040354894</v>
      </c>
      <c r="U20" s="60">
        <f t="shared" si="24"/>
        <v>6.5533438688805914E-2</v>
      </c>
      <c r="V20" s="60">
        <f t="shared" si="24"/>
        <v>9.5577178239716939E-2</v>
      </c>
      <c r="W20"/>
      <c r="X20"/>
      <c r="Y20"/>
      <c r="AH20"/>
      <c r="AI20"/>
    </row>
    <row r="21" spans="2:36" ht="15" hidden="1" customHeight="1" outlineLevel="2" x14ac:dyDescent="0.3">
      <c r="B21" s="30" t="str">
        <f t="shared" si="20"/>
        <v>Mortgage loans held for sale as % of Sales</v>
      </c>
      <c r="D21" s="60">
        <f>AVERAGE(N21, Q21)</f>
        <v>0.1996308400536308</v>
      </c>
      <c r="E21" s="60">
        <f t="shared" ref="E21" si="25">AVERAGE(L21, O21, R21)</f>
        <v>0.20705542996710968</v>
      </c>
      <c r="F21" s="60">
        <f t="shared" ref="F21" si="26">AVERAGE(M21, P21, S21)</f>
        <v>0.2572635058681409</v>
      </c>
      <c r="G21" s="60">
        <f>AVERAGE(N21, Q21, T21)</f>
        <v>0.1974466999716232</v>
      </c>
      <c r="H21" s="134"/>
      <c r="I21" s="116"/>
      <c r="J21" s="90"/>
      <c r="L21" s="60">
        <f t="shared" ref="L21:V21" si="27">L69 / L$42</f>
        <v>0.22897980100644924</v>
      </c>
      <c r="M21" s="60">
        <f t="shared" si="27"/>
        <v>0.27044180864711576</v>
      </c>
      <c r="N21" s="60">
        <f t="shared" si="27"/>
        <v>0.19640771720913147</v>
      </c>
      <c r="O21" s="60">
        <f t="shared" si="27"/>
        <v>0.19867208819822796</v>
      </c>
      <c r="P21" s="60">
        <f t="shared" si="27"/>
        <v>0.24872741935819118</v>
      </c>
      <c r="Q21" s="60">
        <f t="shared" si="27"/>
        <v>0.20285396289813012</v>
      </c>
      <c r="R21" s="60">
        <f t="shared" si="27"/>
        <v>0.19351440069665185</v>
      </c>
      <c r="S21" s="60">
        <f t="shared" si="27"/>
        <v>0.25262128959911567</v>
      </c>
      <c r="T21" s="60">
        <f t="shared" si="27"/>
        <v>0.19307841980760795</v>
      </c>
      <c r="U21" s="60">
        <f t="shared" si="27"/>
        <v>0.20134131233228122</v>
      </c>
      <c r="V21" s="60">
        <f t="shared" si="27"/>
        <v>0.27911936704506363</v>
      </c>
      <c r="W21"/>
      <c r="X21"/>
      <c r="Y21"/>
      <c r="AH21"/>
      <c r="AI21"/>
    </row>
    <row r="22" spans="2:36" ht="15" hidden="1" customHeight="1" outlineLevel="2" x14ac:dyDescent="0.3">
      <c r="B22" s="30" t="str">
        <f t="shared" si="20"/>
        <v>Single-family lots, land &amp; land development costs as % of Sales</v>
      </c>
      <c r="D22" s="60">
        <f>AVERAGE(N22, Q22)</f>
        <v>1.2954406084651837</v>
      </c>
      <c r="E22" s="60">
        <f t="shared" ref="E22" si="28">AVERAGE(L22, O22, R22)</f>
        <v>1.2662568201888271</v>
      </c>
      <c r="F22" s="60">
        <f t="shared" ref="F22" si="29">AVERAGE(M22, P22, S22)</f>
        <v>1.6159623329610682</v>
      </c>
      <c r="G22" s="60">
        <f>AVERAGE(N22, Q22, T22)</f>
        <v>1.327619504805335</v>
      </c>
      <c r="H22" s="134"/>
      <c r="I22" s="116"/>
      <c r="J22" s="90"/>
      <c r="L22" s="60">
        <f t="shared" ref="L22:V22" si="30">L70 / L$42</f>
        <v>1.1812602738191584</v>
      </c>
      <c r="M22" s="60">
        <f t="shared" si="30"/>
        <v>1.4502798635048642</v>
      </c>
      <c r="N22" s="60">
        <f t="shared" si="30"/>
        <v>1.2624800067345736</v>
      </c>
      <c r="O22" s="60">
        <f t="shared" si="30"/>
        <v>1.2898365523676978</v>
      </c>
      <c r="P22" s="60">
        <f t="shared" si="30"/>
        <v>1.678048009910436</v>
      </c>
      <c r="Q22" s="60">
        <f t="shared" si="30"/>
        <v>1.3284012101957938</v>
      </c>
      <c r="R22" s="60">
        <f t="shared" si="30"/>
        <v>1.3276736343796252</v>
      </c>
      <c r="S22" s="60">
        <f t="shared" si="30"/>
        <v>1.7195591254679039</v>
      </c>
      <c r="T22" s="60">
        <f t="shared" si="30"/>
        <v>1.3919772974856377</v>
      </c>
      <c r="U22" s="60">
        <f t="shared" si="30"/>
        <v>1.3948685172457569</v>
      </c>
      <c r="V22" s="60">
        <f t="shared" si="30"/>
        <v>1.5141751437417073</v>
      </c>
      <c r="W22"/>
      <c r="X22"/>
      <c r="Y22"/>
      <c r="AH22"/>
      <c r="AI22"/>
    </row>
    <row r="23" spans="2:36" ht="15" hidden="1" customHeight="1" outlineLevel="2" x14ac:dyDescent="0.3">
      <c r="B23" s="30" t="str">
        <f t="shared" si="20"/>
        <v>Land held for sale as % of Sales</v>
      </c>
      <c r="D23" s="60">
        <f t="shared" ref="D23:F23" si="31">$L23</f>
        <v>3.339428782655693E-3</v>
      </c>
      <c r="E23" s="60">
        <f t="shared" si="31"/>
        <v>3.339428782655693E-3</v>
      </c>
      <c r="F23" s="60">
        <f t="shared" si="31"/>
        <v>3.339428782655693E-3</v>
      </c>
      <c r="G23" s="60">
        <f>$L23</f>
        <v>3.339428782655693E-3</v>
      </c>
      <c r="H23" s="134"/>
      <c r="I23" s="116"/>
      <c r="J23" s="90"/>
      <c r="L23" s="60">
        <f t="shared" ref="L23:V23" si="32">L71 / L$42</f>
        <v>3.339428782655693E-3</v>
      </c>
      <c r="M23" s="60">
        <f t="shared" si="32"/>
        <v>2.0152249901749125E-3</v>
      </c>
      <c r="N23" s="60">
        <f t="shared" si="32"/>
        <v>1.2956401288752497E-2</v>
      </c>
      <c r="O23" s="60">
        <f t="shared" si="32"/>
        <v>2.08726827281677E-2</v>
      </c>
      <c r="P23" s="60">
        <f t="shared" si="32"/>
        <v>1.814973322053838E-2</v>
      </c>
      <c r="Q23" s="60">
        <f t="shared" si="32"/>
        <v>2.5204194124421934E-2</v>
      </c>
      <c r="R23" s="60">
        <f t="shared" si="32"/>
        <v>2.2782737082017855E-2</v>
      </c>
      <c r="S23" s="60">
        <f t="shared" si="32"/>
        <v>8.1556307196185059E-3</v>
      </c>
      <c r="T23" s="60">
        <f t="shared" si="32"/>
        <v>2.5880362618933176E-2</v>
      </c>
      <c r="U23" s="60">
        <f t="shared" si="32"/>
        <v>3.7321665433628241E-2</v>
      </c>
      <c r="V23" s="60">
        <f t="shared" si="32"/>
        <v>2.5738365521647256E-2</v>
      </c>
      <c r="W23"/>
      <c r="X23"/>
      <c r="Y23"/>
      <c r="AH23"/>
      <c r="AI23"/>
    </row>
    <row r="24" spans="2:36" ht="15" hidden="1" customHeight="1" outlineLevel="2" x14ac:dyDescent="0.3">
      <c r="B24" s="30" t="str">
        <f t="shared" si="20"/>
        <v>Homes under construction as % of Sales</v>
      </c>
      <c r="D24" s="60">
        <f>AVERAGE($L24:$N24)</f>
        <v>1.3009045837211055</v>
      </c>
      <c r="E24" s="60">
        <f t="shared" ref="E24:G24" si="33">AVERAGE($L24:$N24)</f>
        <v>1.3009045837211055</v>
      </c>
      <c r="F24" s="60">
        <f t="shared" si="33"/>
        <v>1.3009045837211055</v>
      </c>
      <c r="G24" s="60">
        <f t="shared" si="33"/>
        <v>1.3009045837211055</v>
      </c>
      <c r="H24" s="134"/>
      <c r="I24" s="116"/>
      <c r="J24" s="90"/>
      <c r="L24" s="60">
        <f t="shared" ref="L24:V24" si="34">L72 / L$42</f>
        <v>1.1686754579287981</v>
      </c>
      <c r="M24" s="60">
        <f t="shared" si="34"/>
        <v>1.435640050345999</v>
      </c>
      <c r="N24" s="60">
        <f t="shared" si="34"/>
        <v>1.2983982428885199</v>
      </c>
      <c r="O24" s="60">
        <f t="shared" si="34"/>
        <v>1.2770512725955048</v>
      </c>
      <c r="P24" s="60">
        <f t="shared" si="34"/>
        <v>1.5812549754837262</v>
      </c>
      <c r="Q24" s="60">
        <f t="shared" si="34"/>
        <v>1.4636624272244745</v>
      </c>
      <c r="R24" s="60">
        <f t="shared" si="34"/>
        <v>1.3572490852860968</v>
      </c>
      <c r="S24" s="60">
        <f t="shared" si="34"/>
        <v>1.5487293796833213</v>
      </c>
      <c r="T24" s="60">
        <f t="shared" si="34"/>
        <v>1.3555516841126478</v>
      </c>
      <c r="U24" s="60">
        <f t="shared" si="34"/>
        <v>1.3141183629335516</v>
      </c>
      <c r="V24" s="60">
        <f t="shared" si="34"/>
        <v>1.3237947810703228</v>
      </c>
      <c r="W24"/>
      <c r="X24"/>
      <c r="Y24"/>
      <c r="AH24"/>
      <c r="AI24"/>
      <c r="AJ24"/>
    </row>
    <row r="25" spans="2:36" ht="15" hidden="1" customHeight="1" outlineLevel="2" x14ac:dyDescent="0.3">
      <c r="B25" s="30" t="str">
        <f t="shared" si="20"/>
        <v>Model homes &amp; furnishings - at cost as % of Sales</v>
      </c>
      <c r="D25" s="60">
        <f>AVERAGE(N25, Q25)</f>
        <v>0.145401948120543</v>
      </c>
      <c r="E25" s="60">
        <f t="shared" ref="E25" si="35">AVERAGE(L25, O25, R25)</f>
        <v>0.14225199378237888</v>
      </c>
      <c r="F25" s="60">
        <f t="shared" ref="F25" si="36">AVERAGE(M25, P25, S25)</f>
        <v>0.17957647676734423</v>
      </c>
      <c r="G25" s="60">
        <f>AVERAGE(N25, Q25, T25)</f>
        <v>0.14984139770670665</v>
      </c>
      <c r="H25" s="134"/>
      <c r="I25" s="116"/>
      <c r="J25" s="90"/>
      <c r="L25" s="60">
        <f t="shared" ref="L25:V25" si="37">L73 / L$42</f>
        <v>0.13236179525451067</v>
      </c>
      <c r="M25" s="60">
        <f t="shared" si="37"/>
        <v>0.16542157848903138</v>
      </c>
      <c r="N25" s="60">
        <f t="shared" si="37"/>
        <v>0.14702798674513465</v>
      </c>
      <c r="O25" s="60">
        <f t="shared" si="37"/>
        <v>0.14943577377077569</v>
      </c>
      <c r="P25" s="60">
        <f t="shared" si="37"/>
        <v>0.19318283382767731</v>
      </c>
      <c r="Q25" s="60">
        <f t="shared" si="37"/>
        <v>0.14377590949595134</v>
      </c>
      <c r="R25" s="60">
        <f t="shared" si="37"/>
        <v>0.14495841232185028</v>
      </c>
      <c r="S25" s="60">
        <f t="shared" si="37"/>
        <v>0.18012501798532399</v>
      </c>
      <c r="T25" s="60">
        <f t="shared" si="37"/>
        <v>0.15872029687903397</v>
      </c>
      <c r="U25" s="60">
        <f t="shared" si="37"/>
        <v>0.16815433847123665</v>
      </c>
      <c r="V25" s="60">
        <f t="shared" si="37"/>
        <v>0.17717823971693941</v>
      </c>
      <c r="W25"/>
      <c r="X25"/>
      <c r="Y25"/>
      <c r="AH25"/>
      <c r="AI25"/>
      <c r="AJ25"/>
    </row>
    <row r="26" spans="2:36" ht="15" hidden="1" customHeight="1" outlineLevel="2" x14ac:dyDescent="0.3">
      <c r="B26" s="30" t="str">
        <f t="shared" si="20"/>
        <v>Community development district infrastructure as % of Sales</v>
      </c>
      <c r="D26" s="60">
        <f>AVERAGE($L26:$N26)</f>
        <v>2.0158072014116474E-2</v>
      </c>
      <c r="E26" s="60">
        <f t="shared" ref="E26:G26" si="38">AVERAGE($L26:$N26)</f>
        <v>2.0158072014116474E-2</v>
      </c>
      <c r="F26" s="60">
        <f t="shared" si="38"/>
        <v>2.0158072014116474E-2</v>
      </c>
      <c r="G26" s="60">
        <f t="shared" si="38"/>
        <v>2.0158072014116474E-2</v>
      </c>
      <c r="H26" s="134"/>
      <c r="I26" s="116"/>
      <c r="J26" s="90"/>
      <c r="L26" s="60">
        <f t="shared" ref="L26:V26" si="39">L74 / L$42</f>
        <v>1.6186078292452753E-2</v>
      </c>
      <c r="M26" s="60">
        <f t="shared" si="39"/>
        <v>2.2357917116081462E-2</v>
      </c>
      <c r="N26" s="60">
        <f t="shared" si="39"/>
        <v>2.1930220633815212E-2</v>
      </c>
      <c r="O26" s="60">
        <f t="shared" si="39"/>
        <v>1.7422228493184071E-2</v>
      </c>
      <c r="P26" s="60">
        <f t="shared" si="39"/>
        <v>2.4377012277882974E-2</v>
      </c>
      <c r="Q26" s="60">
        <f t="shared" si="39"/>
        <v>2.8354718389974675E-2</v>
      </c>
      <c r="R26" s="60">
        <f t="shared" si="39"/>
        <v>2.1123530276044709E-2</v>
      </c>
      <c r="S26" s="60">
        <f t="shared" si="39"/>
        <v>2.8545849443996556E-2</v>
      </c>
      <c r="T26" s="60">
        <f t="shared" si="39"/>
        <v>1.112036992336642E-2</v>
      </c>
      <c r="U26" s="60">
        <f t="shared" si="39"/>
        <v>1.2859350444112716E-2</v>
      </c>
      <c r="V26" s="60">
        <f t="shared" si="39"/>
        <v>1.5423362327387094E-2</v>
      </c>
      <c r="W26"/>
      <c r="X26"/>
      <c r="Y26"/>
      <c r="AH26"/>
      <c r="AI26"/>
      <c r="AJ26"/>
    </row>
    <row r="27" spans="2:36" ht="15" hidden="1" customHeight="1" outlineLevel="2" x14ac:dyDescent="0.3">
      <c r="B27" s="30" t="str">
        <f t="shared" si="20"/>
        <v>Land purchase deposits as % of Sales</v>
      </c>
      <c r="D27" s="81">
        <f t="shared" ref="D27:G28" si="40">$I27 + $H27 * D$8</f>
        <v>3.7558875398234659E-2</v>
      </c>
      <c r="E27" s="81">
        <f t="shared" si="40"/>
        <v>3.9599259659400698E-2</v>
      </c>
      <c r="F27" s="81">
        <f t="shared" si="40"/>
        <v>4.1617465830771416E-2</v>
      </c>
      <c r="G27" s="81">
        <f t="shared" si="40"/>
        <v>4.5653878173512852E-2</v>
      </c>
      <c r="H27" s="134">
        <f>SLOPE($L27:$V27, $L$8:$V$8)</f>
        <v>-2.2178089795282619E-5</v>
      </c>
      <c r="I27" s="116">
        <f>INTERCEPT($L27:$V27, $L$8:$V$8)</f>
        <v>1.0237963505046574</v>
      </c>
      <c r="J27" s="90">
        <f>RSQ($L27:$V27, $L$8:$V$8)</f>
        <v>0.54559042689826809</v>
      </c>
      <c r="L27" s="60">
        <f t="shared" ref="L27:V27" si="41">L75 / L$42</f>
        <v>4.6189130684379874E-2</v>
      </c>
      <c r="M27" s="60">
        <f t="shared" si="41"/>
        <v>5.489064288100997E-2</v>
      </c>
      <c r="N27" s="60">
        <f t="shared" si="41"/>
        <v>4.3454836265678927E-2</v>
      </c>
      <c r="O27" s="60">
        <f t="shared" si="41"/>
        <v>5.1873859602428143E-2</v>
      </c>
      <c r="P27" s="60">
        <f t="shared" si="41"/>
        <v>6.9393837986817961E-2</v>
      </c>
      <c r="Q27" s="60">
        <f t="shared" si="41"/>
        <v>5.6568552519891097E-2</v>
      </c>
      <c r="R27" s="60">
        <f t="shared" si="41"/>
        <v>6.0598676218155234E-2</v>
      </c>
      <c r="S27" s="60">
        <f t="shared" si="41"/>
        <v>8.2590891546783535E-2</v>
      </c>
      <c r="T27" s="60">
        <f t="shared" si="41"/>
        <v>6.5853243861022662E-2</v>
      </c>
      <c r="U27" s="60">
        <f t="shared" si="41"/>
        <v>6.5417430931607956E-2</v>
      </c>
      <c r="V27" s="60">
        <f t="shared" si="41"/>
        <v>7.5667108948842696E-2</v>
      </c>
      <c r="W27"/>
      <c r="X27"/>
      <c r="Y27"/>
      <c r="AH27"/>
      <c r="AI27"/>
      <c r="AJ27"/>
    </row>
    <row r="28" spans="2:36" ht="15" hidden="1" customHeight="1" outlineLevel="2" x14ac:dyDescent="0.3">
      <c r="B28" s="30" t="str">
        <f t="shared" si="20"/>
        <v>Consolidated inventory not owned as % of Sales</v>
      </c>
      <c r="D28" s="81">
        <f t="shared" si="40"/>
        <v>1.0949451948858768E-2</v>
      </c>
      <c r="E28" s="81">
        <f t="shared" si="40"/>
        <v>1.2472238034336836E-2</v>
      </c>
      <c r="F28" s="81">
        <f t="shared" si="40"/>
        <v>1.3978472097146644E-2</v>
      </c>
      <c r="G28" s="81">
        <f t="shared" si="40"/>
        <v>1.699094022276626E-2</v>
      </c>
      <c r="H28" s="134">
        <f>SLOPE($L28:$V28, $L$8:$V$8)</f>
        <v>-1.6552022668239756E-5</v>
      </c>
      <c r="I28" s="116">
        <f>INTERCEPT($L28:$V28, $L$8:$V$8)</f>
        <v>0.74700134798281248</v>
      </c>
      <c r="J28" s="90">
        <f>RSQ($L28:$V28, $L$8:$V$8)</f>
        <v>0.36958912022208018</v>
      </c>
      <c r="L28" s="60">
        <f t="shared" ref="L28:V28" si="42">L76 / L$42</f>
        <v>1.5450983906333574E-2</v>
      </c>
      <c r="M28" s="60">
        <f t="shared" si="42"/>
        <v>2.4729788453314819E-2</v>
      </c>
      <c r="N28" s="60">
        <f t="shared" si="42"/>
        <v>1.0235021313394915E-2</v>
      </c>
      <c r="O28" s="60">
        <f t="shared" si="42"/>
        <v>2.1018589482528067E-2</v>
      </c>
      <c r="P28" s="60">
        <f t="shared" si="42"/>
        <v>3.3090214483620137E-2</v>
      </c>
      <c r="Q28" s="60">
        <f t="shared" si="42"/>
        <v>3.8561783031195299E-2</v>
      </c>
      <c r="R28" s="60">
        <f t="shared" si="42"/>
        <v>2.6506097495421949E-2</v>
      </c>
      <c r="S28" s="60">
        <f t="shared" si="42"/>
        <v>4.1563798226361574E-2</v>
      </c>
      <c r="T28" s="60">
        <f t="shared" si="42"/>
        <v>4.6603543489713975E-2</v>
      </c>
      <c r="U28" s="60">
        <f t="shared" si="42"/>
        <v>2.6841568424877317E-2</v>
      </c>
      <c r="V28" s="60">
        <f t="shared" si="42"/>
        <v>2.9401936213081722E-2</v>
      </c>
      <c r="W28"/>
      <c r="X28"/>
      <c r="Y28"/>
      <c r="AH28"/>
      <c r="AI28"/>
      <c r="AJ28"/>
    </row>
    <row r="29" spans="2:36" customFormat="1" ht="15" hidden="1" customHeight="1" outlineLevel="1" x14ac:dyDescent="0.3">
      <c r="H29" s="133"/>
      <c r="I29" s="115"/>
      <c r="J29" s="98"/>
    </row>
    <row r="30" spans="2:36" ht="15" hidden="1" customHeight="1" outlineLevel="2" x14ac:dyDescent="0.3">
      <c r="B30" s="30" t="str">
        <f t="shared" ref="B30:B36" si="43">B88 &amp; " as % of Sales"</f>
        <v>Accounts payable as % of Sales</v>
      </c>
      <c r="D30" s="60">
        <f>AVERAGE(N30, Q30)</f>
        <v>0.26042714183077453</v>
      </c>
      <c r="E30" s="60">
        <f t="shared" ref="E30" si="44">AVERAGE(L30, O30, R30)</f>
        <v>0.24576951086780277</v>
      </c>
      <c r="F30" s="60">
        <f t="shared" ref="F30" si="45">AVERAGE(M30, P30, S30)</f>
        <v>0.26928573618899704</v>
      </c>
      <c r="G30" s="60">
        <f>AVERAGE(N30, Q30, T30)</f>
        <v>0.25799549307015418</v>
      </c>
      <c r="H30" s="134"/>
      <c r="I30" s="116"/>
      <c r="J30" s="90"/>
      <c r="L30" s="60">
        <f>L88 / L$42</f>
        <v>0.23675359916213243</v>
      </c>
      <c r="M30" s="60">
        <f t="shared" ref="M30:V30" si="46">M88 / M$42</f>
        <v>0.26013715302725227</v>
      </c>
      <c r="N30" s="60">
        <f t="shared" si="46"/>
        <v>0.25947699913521954</v>
      </c>
      <c r="O30" s="60">
        <f t="shared" si="46"/>
        <v>0.247031358728591</v>
      </c>
      <c r="P30" s="60">
        <f t="shared" si="46"/>
        <v>0.27630952653140972</v>
      </c>
      <c r="Q30" s="60">
        <f t="shared" si="46"/>
        <v>0.26137728452632952</v>
      </c>
      <c r="R30" s="60">
        <f t="shared" si="46"/>
        <v>0.25352357471268488</v>
      </c>
      <c r="S30" s="60">
        <f t="shared" si="46"/>
        <v>0.27141052900832918</v>
      </c>
      <c r="T30" s="60">
        <f t="shared" si="46"/>
        <v>0.25313219554891347</v>
      </c>
      <c r="U30" s="60">
        <f t="shared" si="46"/>
        <v>0.24749488909220646</v>
      </c>
      <c r="V30" s="60">
        <f t="shared" si="46"/>
        <v>0.23195980146444542</v>
      </c>
      <c r="W30"/>
      <c r="X30"/>
      <c r="Y30"/>
    </row>
    <row r="31" spans="2:36" ht="15" hidden="1" customHeight="1" outlineLevel="2" x14ac:dyDescent="0.3">
      <c r="B31" s="30" t="str">
        <f t="shared" si="43"/>
        <v>Customer deposits as % of Sales</v>
      </c>
      <c r="D31" s="60">
        <f>AVERAGE($L31:$N31)</f>
        <v>6.763759606170329E-2</v>
      </c>
      <c r="E31" s="60">
        <f t="shared" ref="E31:G36" si="47">AVERAGE($L31:$N31)</f>
        <v>6.763759606170329E-2</v>
      </c>
      <c r="F31" s="60">
        <f t="shared" si="47"/>
        <v>6.763759606170329E-2</v>
      </c>
      <c r="G31" s="60">
        <f t="shared" si="47"/>
        <v>6.763759606170329E-2</v>
      </c>
      <c r="H31" s="134"/>
      <c r="I31" s="116"/>
      <c r="J31" s="90"/>
      <c r="L31" s="60">
        <f t="shared" ref="L31:V31" si="48">L89 / L$42</f>
        <v>6.9349504476374765E-2</v>
      </c>
      <c r="M31" s="60">
        <f t="shared" si="48"/>
        <v>7.8079580611596547E-2</v>
      </c>
      <c r="N31" s="60">
        <f t="shared" si="48"/>
        <v>5.548370309713857E-2</v>
      </c>
      <c r="O31" s="60">
        <f t="shared" si="48"/>
        <v>6.1005057031903877E-2</v>
      </c>
      <c r="P31" s="60">
        <f t="shared" si="48"/>
        <v>7.5525504615378214E-2</v>
      </c>
      <c r="Q31" s="60">
        <f t="shared" si="48"/>
        <v>7.1231081885454059E-2</v>
      </c>
      <c r="R31" s="60">
        <f t="shared" si="48"/>
        <v>7.4377618267759432E-2</v>
      </c>
      <c r="S31" s="60">
        <f t="shared" si="48"/>
        <v>8.5539342753456038E-2</v>
      </c>
      <c r="T31" s="60">
        <f t="shared" si="48"/>
        <v>6.4192954580278447E-2</v>
      </c>
      <c r="U31" s="60">
        <f t="shared" si="48"/>
        <v>6.4909623390665971E-2</v>
      </c>
      <c r="V31" s="60">
        <f t="shared" si="48"/>
        <v>6.5556046980195584E-2</v>
      </c>
      <c r="W31"/>
      <c r="X31"/>
      <c r="Y31"/>
    </row>
    <row r="32" spans="2:36" ht="15" hidden="1" customHeight="1" outlineLevel="2" x14ac:dyDescent="0.3">
      <c r="B32" s="30" t="str">
        <f t="shared" si="43"/>
        <v>Operating lease liabilities as % of Sales</v>
      </c>
      <c r="D32" s="81">
        <f>$I32 + $H32 * D$8</f>
        <v>7.4686813825460607E-2</v>
      </c>
      <c r="E32" s="81">
        <f t="shared" ref="E32:G32" si="49">$L32</f>
        <v>7.1679403635426783E-2</v>
      </c>
      <c r="F32" s="81">
        <f t="shared" si="49"/>
        <v>7.1679403635426783E-2</v>
      </c>
      <c r="G32" s="81">
        <f t="shared" si="49"/>
        <v>7.1679403635426783E-2</v>
      </c>
      <c r="H32" s="134">
        <f>SLOPE($L32:$V32, $L$8:$V$8)</f>
        <v>5.2336571178959939E-5</v>
      </c>
      <c r="I32" s="116">
        <f>INTERCEPT($L32:$V32, $L$8:$V$8)</f>
        <v>-2.252668169931709</v>
      </c>
      <c r="J32" s="90">
        <f>RSQ($L32:$V32, $L$8:$V$8)</f>
        <v>0.73960023295335542</v>
      </c>
      <c r="L32" s="60">
        <f t="shared" ref="L32:V32" si="50">L90 / L$42</f>
        <v>7.1679403635426783E-2</v>
      </c>
      <c r="M32" s="60">
        <f t="shared" si="50"/>
        <v>3.47557059087297E-2</v>
      </c>
      <c r="N32" s="60">
        <f t="shared" si="50"/>
        <v>2.9171417857334181E-2</v>
      </c>
      <c r="O32" s="60">
        <f t="shared" si="50"/>
        <v>3.1100585871736738E-2</v>
      </c>
      <c r="P32" s="60">
        <f t="shared" si="50"/>
        <v>4.2823975440076989E-2</v>
      </c>
      <c r="Q32" s="60">
        <f t="shared" si="50"/>
        <v>0</v>
      </c>
      <c r="R32" s="60">
        <f t="shared" si="50"/>
        <v>0</v>
      </c>
      <c r="S32" s="60">
        <f t="shared" si="50"/>
        <v>0</v>
      </c>
      <c r="T32" s="60">
        <f t="shared" si="50"/>
        <v>0</v>
      </c>
      <c r="U32" s="60">
        <f t="shared" si="50"/>
        <v>0</v>
      </c>
      <c r="V32" s="60">
        <f t="shared" si="50"/>
        <v>0</v>
      </c>
      <c r="W32"/>
      <c r="X32"/>
      <c r="Y32"/>
    </row>
    <row r="33" spans="2:31" ht="15" hidden="1" customHeight="1" outlineLevel="2" x14ac:dyDescent="0.3">
      <c r="B33" s="30" t="str">
        <f t="shared" si="43"/>
        <v>Other liabilities as % of Sales</v>
      </c>
      <c r="D33" s="60">
        <f>AVERAGE($L33:$N33)</f>
        <v>0.20893196072522613</v>
      </c>
      <c r="E33" s="60">
        <f t="shared" si="47"/>
        <v>0.20893196072522613</v>
      </c>
      <c r="F33" s="60">
        <f t="shared" si="47"/>
        <v>0.20893196072522613</v>
      </c>
      <c r="G33" s="60">
        <f t="shared" si="47"/>
        <v>0.20893196072522613</v>
      </c>
      <c r="H33" s="134"/>
      <c r="I33" s="116"/>
      <c r="J33" s="90"/>
      <c r="L33" s="60">
        <f t="shared" ref="L33:V33" si="51">L91 / L$42</f>
        <v>0.22143283197562566</v>
      </c>
      <c r="M33" s="60">
        <f t="shared" si="51"/>
        <v>0.20419215274158894</v>
      </c>
      <c r="N33" s="60">
        <f t="shared" si="51"/>
        <v>0.20117089745846375</v>
      </c>
      <c r="O33" s="60">
        <f t="shared" si="51"/>
        <v>0.1937080518081214</v>
      </c>
      <c r="P33" s="60">
        <f t="shared" si="51"/>
        <v>0.2269111573468798</v>
      </c>
      <c r="Q33" s="60">
        <f t="shared" si="51"/>
        <v>0.20542862275069473</v>
      </c>
      <c r="R33" s="60">
        <f t="shared" si="51"/>
        <v>0.20968002035484806</v>
      </c>
      <c r="S33" s="60">
        <f t="shared" si="51"/>
        <v>0.23468392648741485</v>
      </c>
      <c r="T33" s="60">
        <f t="shared" si="51"/>
        <v>0.2285154159224051</v>
      </c>
      <c r="U33" s="60">
        <f t="shared" si="51"/>
        <v>0.23340979630788897</v>
      </c>
      <c r="V33" s="60">
        <f t="shared" si="51"/>
        <v>0.23975625337854439</v>
      </c>
      <c r="W33"/>
      <c r="X33"/>
      <c r="Y33"/>
    </row>
    <row r="34" spans="2:31" ht="15" hidden="1" customHeight="1" outlineLevel="2" x14ac:dyDescent="0.3">
      <c r="B34" s="30" t="str">
        <f t="shared" si="43"/>
        <v>Preferred share subject to redemption as % of Sales</v>
      </c>
      <c r="D34" s="60">
        <f t="shared" ref="D34:G34" si="52">$L34</f>
        <v>0</v>
      </c>
      <c r="E34" s="60">
        <f t="shared" si="52"/>
        <v>0</v>
      </c>
      <c r="F34" s="60">
        <f t="shared" si="52"/>
        <v>0</v>
      </c>
      <c r="G34" s="60">
        <f t="shared" si="52"/>
        <v>0</v>
      </c>
      <c r="H34" s="134"/>
      <c r="I34" s="116"/>
      <c r="J34" s="90"/>
      <c r="L34" s="60">
        <f t="shared" ref="L34:V34" si="53">L92 / L$42</f>
        <v>0</v>
      </c>
      <c r="M34" s="60">
        <f t="shared" si="53"/>
        <v>0</v>
      </c>
      <c r="N34" s="60">
        <f t="shared" si="53"/>
        <v>0</v>
      </c>
      <c r="O34" s="60">
        <f t="shared" si="53"/>
        <v>0</v>
      </c>
      <c r="P34" s="60">
        <f t="shared" si="53"/>
        <v>0</v>
      </c>
      <c r="Q34" s="60">
        <f t="shared" si="53"/>
        <v>0</v>
      </c>
      <c r="R34" s="60">
        <f t="shared" si="53"/>
        <v>0</v>
      </c>
      <c r="S34" s="60">
        <f t="shared" si="53"/>
        <v>0</v>
      </c>
      <c r="T34" s="60">
        <f t="shared" si="53"/>
        <v>0.1058303230532531</v>
      </c>
      <c r="U34" s="60">
        <f t="shared" si="53"/>
        <v>0</v>
      </c>
      <c r="V34" s="60">
        <f t="shared" si="53"/>
        <v>0</v>
      </c>
      <c r="W34"/>
      <c r="X34"/>
      <c r="Y34"/>
    </row>
    <row r="35" spans="2:31" ht="15" hidden="1" customHeight="1" outlineLevel="2" x14ac:dyDescent="0.3">
      <c r="B35" s="30" t="str">
        <f t="shared" si="43"/>
        <v>Community development district obligations as % of Sales</v>
      </c>
      <c r="D35" s="60">
        <f>AVERAGE($L35:$N35)</f>
        <v>2.0158072014116474E-2</v>
      </c>
      <c r="E35" s="60">
        <f t="shared" si="47"/>
        <v>2.0158072014116474E-2</v>
      </c>
      <c r="F35" s="60">
        <f t="shared" si="47"/>
        <v>2.0158072014116474E-2</v>
      </c>
      <c r="G35" s="60">
        <f t="shared" si="47"/>
        <v>2.0158072014116474E-2</v>
      </c>
      <c r="H35" s="134"/>
      <c r="I35" s="116"/>
      <c r="J35" s="90"/>
      <c r="L35" s="60">
        <f t="shared" ref="L35:V35" si="54">L93 / L$42</f>
        <v>1.6186078292452753E-2</v>
      </c>
      <c r="M35" s="60">
        <f t="shared" si="54"/>
        <v>2.2357917116081462E-2</v>
      </c>
      <c r="N35" s="60">
        <f t="shared" si="54"/>
        <v>2.1930220633815212E-2</v>
      </c>
      <c r="O35" s="60">
        <f t="shared" si="54"/>
        <v>1.7422228493184071E-2</v>
      </c>
      <c r="P35" s="60">
        <f t="shared" si="54"/>
        <v>2.4377012277882974E-2</v>
      </c>
      <c r="Q35" s="60">
        <f t="shared" si="54"/>
        <v>2.8354718389974675E-2</v>
      </c>
      <c r="R35" s="60">
        <f t="shared" si="54"/>
        <v>2.1123530276044709E-2</v>
      </c>
      <c r="S35" s="60">
        <f t="shared" si="54"/>
        <v>2.8545849443996556E-2</v>
      </c>
      <c r="T35" s="60">
        <f t="shared" si="54"/>
        <v>1.112036992336642E-2</v>
      </c>
      <c r="U35" s="60">
        <f t="shared" si="54"/>
        <v>1.2859350444112716E-2</v>
      </c>
      <c r="V35" s="60">
        <f t="shared" si="54"/>
        <v>1.5423362327387094E-2</v>
      </c>
      <c r="W35"/>
      <c r="X35"/>
      <c r="Y35"/>
    </row>
    <row r="36" spans="2:31" ht="15" hidden="1" customHeight="1" outlineLevel="2" x14ac:dyDescent="0.3">
      <c r="B36" s="30" t="str">
        <f t="shared" si="43"/>
        <v>Obligation for consolidated inventory not owned as % of Sales</v>
      </c>
      <c r="D36" s="60">
        <f>AVERAGE($L36:$N36)</f>
        <v>1.68052645576811E-2</v>
      </c>
      <c r="E36" s="60">
        <f t="shared" si="47"/>
        <v>1.68052645576811E-2</v>
      </c>
      <c r="F36" s="60">
        <f t="shared" si="47"/>
        <v>1.68052645576811E-2</v>
      </c>
      <c r="G36" s="60">
        <f t="shared" si="47"/>
        <v>1.68052645576811E-2</v>
      </c>
      <c r="H36" s="134"/>
      <c r="I36" s="116"/>
      <c r="J36" s="90"/>
      <c r="L36" s="60">
        <f t="shared" ref="L36:V36" si="55">L94 / L$42</f>
        <v>1.5450983906333574E-2</v>
      </c>
      <c r="M36" s="60">
        <f t="shared" si="55"/>
        <v>2.4729788453314819E-2</v>
      </c>
      <c r="N36" s="60">
        <f t="shared" si="55"/>
        <v>1.0235021313394915E-2</v>
      </c>
      <c r="O36" s="60">
        <f t="shared" si="55"/>
        <v>2.1018589482528067E-2</v>
      </c>
      <c r="P36" s="60">
        <f t="shared" si="55"/>
        <v>3.3090214483620137E-2</v>
      </c>
      <c r="Q36" s="60">
        <f t="shared" si="55"/>
        <v>3.8561783031195299E-2</v>
      </c>
      <c r="R36" s="60">
        <f t="shared" si="55"/>
        <v>2.65078892954284E-2</v>
      </c>
      <c r="S36" s="60">
        <f t="shared" si="55"/>
        <v>4.1563798226361574E-2</v>
      </c>
      <c r="T36" s="60">
        <f t="shared" si="55"/>
        <v>4.6603543489713975E-2</v>
      </c>
      <c r="U36" s="60">
        <f t="shared" si="55"/>
        <v>2.6841568424877317E-2</v>
      </c>
      <c r="V36" s="60">
        <f t="shared" si="55"/>
        <v>2.9406850459482037E-2</v>
      </c>
      <c r="W36"/>
      <c r="X36"/>
      <c r="Y36"/>
    </row>
    <row r="37" spans="2:31" ht="15" hidden="1" customHeight="1" outlineLevel="1" x14ac:dyDescent="0.3">
      <c r="AE37" s="148"/>
    </row>
    <row r="38" spans="2:31" s="43" customFormat="1" ht="15.9" customHeight="1" collapsed="1" x14ac:dyDescent="0.3">
      <c r="B38" s="40" t="s">
        <v>193</v>
      </c>
      <c r="C38" s="41"/>
      <c r="D38" s="52" t="s">
        <v>194</v>
      </c>
      <c r="E38" s="42"/>
      <c r="F38" s="42"/>
      <c r="G38" s="42"/>
      <c r="H38" s="135"/>
      <c r="I38" s="117"/>
      <c r="J38" s="99"/>
      <c r="K38" s="41"/>
      <c r="L38" s="42" t="s">
        <v>195</v>
      </c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2:31" s="48" customFormat="1" ht="15.9" customHeight="1" x14ac:dyDescent="0.3">
      <c r="B39" s="44" t="s">
        <v>196</v>
      </c>
      <c r="C39" s="45"/>
      <c r="D39" s="46">
        <f>EDATE(G39, 12)</f>
        <v>44469</v>
      </c>
      <c r="E39" s="46">
        <f t="shared" ref="E39:F39" si="56">EDATE(L39, 12)</f>
        <v>44377</v>
      </c>
      <c r="F39" s="46">
        <f t="shared" si="56"/>
        <v>44286</v>
      </c>
      <c r="G39" s="46">
        <f>EDATE(N39, 12)</f>
        <v>44104</v>
      </c>
      <c r="H39" s="136"/>
      <c r="I39" s="118"/>
      <c r="J39" s="100"/>
      <c r="K39" s="45"/>
      <c r="L39" s="46">
        <v>44012</v>
      </c>
      <c r="M39" s="46">
        <v>43921</v>
      </c>
      <c r="N39" s="46">
        <v>43738</v>
      </c>
      <c r="O39" s="46">
        <v>43646</v>
      </c>
      <c r="P39" s="46">
        <v>43555</v>
      </c>
      <c r="Q39" s="46">
        <v>43373</v>
      </c>
      <c r="R39" s="46">
        <v>43281</v>
      </c>
      <c r="S39" s="46">
        <v>43190</v>
      </c>
      <c r="T39" s="46">
        <v>43008</v>
      </c>
      <c r="U39" s="46">
        <v>42916</v>
      </c>
      <c r="V39" s="46">
        <v>42825</v>
      </c>
      <c r="W39" s="46">
        <v>42643</v>
      </c>
      <c r="X39" s="46">
        <v>42551</v>
      </c>
      <c r="Y39" s="46">
        <v>42460</v>
      </c>
    </row>
    <row r="40" spans="2:31" s="48" customFormat="1" ht="15.9" customHeight="1" x14ac:dyDescent="0.3">
      <c r="B40" s="68" t="s">
        <v>197</v>
      </c>
      <c r="C40" s="45"/>
      <c r="D40" s="69" t="str">
        <f>G40</f>
        <v>3rd Quarter</v>
      </c>
      <c r="E40" s="69" t="str">
        <f t="shared" ref="E40:F40" si="57">L40</f>
        <v>2nd Quarter</v>
      </c>
      <c r="F40" s="69" t="str">
        <f t="shared" si="57"/>
        <v>1st Quarter</v>
      </c>
      <c r="G40" s="69" t="str">
        <f>N40</f>
        <v>3rd Quarter</v>
      </c>
      <c r="H40" s="137"/>
      <c r="I40" s="119"/>
      <c r="J40" s="101"/>
      <c r="K40" s="45"/>
      <c r="L40" s="70" t="s">
        <v>198</v>
      </c>
      <c r="M40" s="70" t="s">
        <v>199</v>
      </c>
      <c r="N40" s="70" t="s">
        <v>200</v>
      </c>
      <c r="O40" s="70" t="s">
        <v>198</v>
      </c>
      <c r="P40" s="70" t="s">
        <v>199</v>
      </c>
      <c r="Q40" s="70" t="s">
        <v>200</v>
      </c>
      <c r="R40" s="70" t="s">
        <v>198</v>
      </c>
      <c r="S40" s="70" t="s">
        <v>199</v>
      </c>
      <c r="T40" s="70" t="s">
        <v>200</v>
      </c>
      <c r="U40" s="70" t="s">
        <v>198</v>
      </c>
      <c r="V40" s="70" t="s">
        <v>199</v>
      </c>
      <c r="W40" s="70" t="s">
        <v>200</v>
      </c>
      <c r="X40" s="70" t="s">
        <v>198</v>
      </c>
      <c r="Y40" s="70" t="s">
        <v>199</v>
      </c>
    </row>
    <row r="41" spans="2:31" s="64" customFormat="1" x14ac:dyDescent="0.3">
      <c r="B41" s="56" t="s">
        <v>201</v>
      </c>
      <c r="C41" s="3"/>
      <c r="D41" s="57"/>
      <c r="E41" s="57"/>
      <c r="F41" s="57"/>
      <c r="G41" s="57"/>
      <c r="H41" s="138"/>
      <c r="I41" s="120"/>
      <c r="J41" s="102"/>
      <c r="K41" s="3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 spans="2:31" s="39" customFormat="1" x14ac:dyDescent="0.3">
      <c r="B42" s="73" t="s">
        <v>202</v>
      </c>
      <c r="C42" s="25"/>
      <c r="D42" s="53">
        <f>G42 * (1 + D9)</f>
        <v>872147.07455134566</v>
      </c>
      <c r="E42" s="53">
        <f>L42 * (1 + E9)</f>
        <v>829469.11786618992</v>
      </c>
      <c r="F42" s="53">
        <f>M42 * (1 + F9)</f>
        <v>649844.86193363741</v>
      </c>
      <c r="G42" s="53">
        <f>N42 * (1 + G9)</f>
        <v>744641.5323189795</v>
      </c>
      <c r="H42" s="139"/>
      <c r="I42" s="121"/>
      <c r="J42" s="103"/>
      <c r="K42" s="25"/>
      <c r="L42" s="53">
        <v>714194</v>
      </c>
      <c r="M42" s="53">
        <v>577603</v>
      </c>
      <c r="N42" s="53">
        <v>653345</v>
      </c>
      <c r="O42" s="53">
        <v>623686</v>
      </c>
      <c r="P42" s="53">
        <v>481109</v>
      </c>
      <c r="Q42" s="53">
        <v>567842</v>
      </c>
      <c r="R42" s="53">
        <v>558098</v>
      </c>
      <c r="S42" s="53">
        <v>437857</v>
      </c>
      <c r="T42" s="53">
        <v>476423</v>
      </c>
      <c r="U42" s="53">
        <v>456866</v>
      </c>
      <c r="V42" s="53">
        <v>406980</v>
      </c>
      <c r="W42" s="53">
        <v>442464</v>
      </c>
      <c r="X42" s="53">
        <v>401247</v>
      </c>
      <c r="Y42" s="53">
        <v>324370</v>
      </c>
    </row>
    <row r="43" spans="2:31" x14ac:dyDescent="0.3">
      <c r="B43" s="89" t="s">
        <v>203</v>
      </c>
      <c r="D43" s="32">
        <f t="shared" ref="D43:G45" si="58">D10 * D$42</f>
        <v>693649.84605246352</v>
      </c>
      <c r="E43" s="32">
        <f t="shared" si="58"/>
        <v>661915.6908973091</v>
      </c>
      <c r="F43" s="32">
        <f t="shared" si="58"/>
        <v>520269.80163773929</v>
      </c>
      <c r="G43" s="32">
        <f t="shared" si="58"/>
        <v>590029.38007669267</v>
      </c>
      <c r="L43" s="32">
        <v>557791</v>
      </c>
      <c r="M43" s="32">
        <v>460924</v>
      </c>
      <c r="N43" s="32">
        <v>519164</v>
      </c>
      <c r="O43" s="32">
        <v>503857</v>
      </c>
      <c r="P43" s="32">
        <v>388467</v>
      </c>
      <c r="Q43" s="32">
        <v>452029</v>
      </c>
      <c r="R43" s="32">
        <v>449336</v>
      </c>
      <c r="S43" s="32">
        <v>348702</v>
      </c>
      <c r="T43" s="32">
        <v>374673</v>
      </c>
      <c r="U43" s="32">
        <v>367598</v>
      </c>
      <c r="V43" s="32">
        <v>320281</v>
      </c>
      <c r="W43" s="32">
        <v>363635</v>
      </c>
      <c r="X43" s="32">
        <v>319708</v>
      </c>
      <c r="Y43" s="32">
        <v>260172</v>
      </c>
    </row>
    <row r="44" spans="2:31" x14ac:dyDescent="0.3">
      <c r="B44" s="89" t="s">
        <v>204</v>
      </c>
      <c r="D44" s="32">
        <f t="shared" si="58"/>
        <v>54622.426760712558</v>
      </c>
      <c r="E44" s="32">
        <f t="shared" si="58"/>
        <v>49092.965565808525</v>
      </c>
      <c r="F44" s="32">
        <f t="shared" si="58"/>
        <v>40343.19374650815</v>
      </c>
      <c r="G44" s="32">
        <f t="shared" si="58"/>
        <v>47417.59385539424</v>
      </c>
      <c r="L44" s="32">
        <v>41037</v>
      </c>
      <c r="M44" s="32">
        <v>33847</v>
      </c>
      <c r="N44" s="32">
        <v>39385</v>
      </c>
      <c r="O44" s="32">
        <v>36164</v>
      </c>
      <c r="P44" s="32">
        <v>30699</v>
      </c>
      <c r="Q44" s="32">
        <v>36897</v>
      </c>
      <c r="R44" s="32">
        <v>34666</v>
      </c>
      <c r="S44" s="32">
        <v>27951</v>
      </c>
      <c r="T44" s="32">
        <v>31337</v>
      </c>
      <c r="U44" s="32">
        <v>30112</v>
      </c>
      <c r="V44" s="32">
        <v>27760</v>
      </c>
      <c r="W44" s="32">
        <v>29160</v>
      </c>
      <c r="X44" s="32">
        <v>26830</v>
      </c>
      <c r="Y44" s="32">
        <v>22259</v>
      </c>
    </row>
    <row r="45" spans="2:31" x14ac:dyDescent="0.3">
      <c r="B45" s="89" t="s">
        <v>205</v>
      </c>
      <c r="D45" s="32">
        <f t="shared" si="58"/>
        <v>53715.692322827854</v>
      </c>
      <c r="E45" s="32">
        <f t="shared" si="58"/>
        <v>50157.056366466401</v>
      </c>
      <c r="F45" s="32">
        <f t="shared" si="58"/>
        <v>42889.586000860058</v>
      </c>
      <c r="G45" s="32">
        <f t="shared" si="58"/>
        <v>46796.759048719636</v>
      </c>
      <c r="L45" s="32">
        <v>41127</v>
      </c>
      <c r="M45" s="32">
        <v>36828</v>
      </c>
      <c r="N45" s="32">
        <v>40147</v>
      </c>
      <c r="O45" s="32">
        <v>37452</v>
      </c>
      <c r="P45" s="32">
        <v>31551</v>
      </c>
      <c r="Q45" s="32">
        <v>35054</v>
      </c>
      <c r="R45" s="32">
        <v>35591</v>
      </c>
      <c r="S45" s="32">
        <v>30063</v>
      </c>
      <c r="T45" s="32">
        <v>31136</v>
      </c>
      <c r="U45" s="32">
        <v>30247</v>
      </c>
      <c r="V45" s="32">
        <v>27283</v>
      </c>
      <c r="W45" s="32">
        <v>27663</v>
      </c>
      <c r="X45" s="32">
        <v>25533</v>
      </c>
      <c r="Y45" s="32">
        <v>22266</v>
      </c>
    </row>
    <row r="46" spans="2:31" x14ac:dyDescent="0.3">
      <c r="B46" s="89" t="s">
        <v>206</v>
      </c>
      <c r="D46" s="34" t="str">
        <f t="shared" ref="D46:G47" si="59">$L46</f>
        <v>-</v>
      </c>
      <c r="E46" s="34" t="str">
        <f t="shared" si="59"/>
        <v>-</v>
      </c>
      <c r="F46" s="34" t="str">
        <f t="shared" si="59"/>
        <v>-</v>
      </c>
      <c r="G46" s="34" t="str">
        <f>$L46</f>
        <v>-</v>
      </c>
      <c r="H46" s="140"/>
      <c r="I46" s="122"/>
      <c r="J46" s="104"/>
      <c r="L46" s="34" t="s">
        <v>207</v>
      </c>
      <c r="M46" s="34" t="s">
        <v>207</v>
      </c>
      <c r="N46" s="34" t="s">
        <v>207</v>
      </c>
      <c r="O46" s="34" t="s">
        <v>207</v>
      </c>
      <c r="P46" s="34" t="s">
        <v>207</v>
      </c>
      <c r="Q46" s="34" t="s">
        <v>207</v>
      </c>
      <c r="R46" s="34" t="s">
        <v>207</v>
      </c>
      <c r="S46" s="32">
        <v>1700</v>
      </c>
      <c r="T46" s="34" t="s">
        <v>207</v>
      </c>
      <c r="U46" s="34" t="s">
        <v>207</v>
      </c>
      <c r="V46" s="34" t="s">
        <v>207</v>
      </c>
      <c r="W46" s="34" t="s">
        <v>207</v>
      </c>
      <c r="X46" s="34" t="s">
        <v>207</v>
      </c>
      <c r="Y46" s="34" t="s">
        <v>207</v>
      </c>
    </row>
    <row r="47" spans="2:31" x14ac:dyDescent="0.3">
      <c r="B47" s="89" t="s">
        <v>208</v>
      </c>
      <c r="D47" s="34" t="str">
        <f t="shared" si="59"/>
        <v>-</v>
      </c>
      <c r="E47" s="34" t="str">
        <f t="shared" si="59"/>
        <v>-</v>
      </c>
      <c r="F47" s="34" t="str">
        <f t="shared" si="59"/>
        <v>-</v>
      </c>
      <c r="G47" s="34" t="str">
        <f t="shared" si="59"/>
        <v>-</v>
      </c>
      <c r="H47" s="140"/>
      <c r="I47" s="122"/>
      <c r="J47" s="104"/>
      <c r="L47" s="34" t="s">
        <v>207</v>
      </c>
      <c r="M47" s="34" t="s">
        <v>207</v>
      </c>
      <c r="N47" s="34" t="s">
        <v>207</v>
      </c>
      <c r="O47" s="34" t="s">
        <v>207</v>
      </c>
      <c r="P47" s="32">
        <v>-121</v>
      </c>
      <c r="Q47" s="34" t="s">
        <v>207</v>
      </c>
      <c r="R47" s="32">
        <v>-86</v>
      </c>
      <c r="S47" s="32">
        <v>310</v>
      </c>
      <c r="T47" s="32">
        <v>71</v>
      </c>
      <c r="U47" s="32">
        <v>110</v>
      </c>
      <c r="V47" s="32">
        <v>17</v>
      </c>
      <c r="W47" s="32">
        <v>24</v>
      </c>
      <c r="X47" s="32">
        <v>82</v>
      </c>
      <c r="Y47" s="32">
        <v>307</v>
      </c>
    </row>
    <row r="48" spans="2:31" x14ac:dyDescent="0.3">
      <c r="B48" s="89" t="s">
        <v>209</v>
      </c>
      <c r="D48" s="34">
        <v>0</v>
      </c>
      <c r="E48" s="34">
        <v>0</v>
      </c>
      <c r="F48" s="34">
        <v>0</v>
      </c>
      <c r="G48" s="34">
        <v>0</v>
      </c>
      <c r="L48" s="32">
        <v>3</v>
      </c>
      <c r="M48" s="32">
        <v>52</v>
      </c>
      <c r="N48" s="32">
        <v>52</v>
      </c>
      <c r="O48" s="32">
        <v>187</v>
      </c>
      <c r="P48" s="34" t="s">
        <v>207</v>
      </c>
      <c r="Q48" s="32">
        <v>44</v>
      </c>
      <c r="R48" s="34" t="s">
        <v>207</v>
      </c>
      <c r="S48" s="34" t="s">
        <v>207</v>
      </c>
      <c r="T48" s="34" t="s">
        <v>207</v>
      </c>
      <c r="U48" s="34" t="s">
        <v>207</v>
      </c>
      <c r="V48" s="34" t="s">
        <v>207</v>
      </c>
      <c r="W48" s="34" t="s">
        <v>207</v>
      </c>
      <c r="X48" s="34" t="s">
        <v>207</v>
      </c>
      <c r="Y48" s="34" t="s">
        <v>207</v>
      </c>
    </row>
    <row r="49" spans="2:25" x14ac:dyDescent="0.3">
      <c r="B49" s="89" t="s">
        <v>210</v>
      </c>
      <c r="D49" s="32">
        <f>D13 * SUM(D96:D104)</f>
        <v>3197.8583596998315</v>
      </c>
      <c r="E49" s="32">
        <f>E13 * SUM(E96:E104)</f>
        <v>3333.2766739571593</v>
      </c>
      <c r="F49" s="32">
        <f>F13 * SUM(F96:F104)</f>
        <v>3467.2230500160458</v>
      </c>
      <c r="G49" s="32">
        <f>G13 * SUM(G96:G104)</f>
        <v>3735.1158021338074</v>
      </c>
      <c r="L49" s="32">
        <v>2515</v>
      </c>
      <c r="M49" s="32">
        <v>4700</v>
      </c>
      <c r="N49" s="32">
        <v>4637</v>
      </c>
      <c r="O49" s="32">
        <v>5197</v>
      </c>
      <c r="P49" s="32">
        <v>6792</v>
      </c>
      <c r="Q49" s="32">
        <v>4426</v>
      </c>
      <c r="R49" s="32">
        <v>4888</v>
      </c>
      <c r="S49" s="32">
        <v>5878</v>
      </c>
      <c r="T49" s="32">
        <v>4675</v>
      </c>
      <c r="U49" s="32">
        <v>3834</v>
      </c>
      <c r="V49" s="32">
        <v>5338</v>
      </c>
      <c r="W49" s="32">
        <v>3587</v>
      </c>
      <c r="X49" s="32">
        <v>4308</v>
      </c>
      <c r="Y49" s="32">
        <v>5265</v>
      </c>
    </row>
    <row r="50" spans="2:25" s="39" customFormat="1" x14ac:dyDescent="0.3">
      <c r="B50" s="73" t="s">
        <v>211</v>
      </c>
      <c r="C50" s="25"/>
      <c r="D50" s="53">
        <f t="shared" ref="D50:G50" si="60">SUM(D43:D49)</f>
        <v>805185.82349570375</v>
      </c>
      <c r="E50" s="53">
        <f t="shared" si="60"/>
        <v>764498.98950354115</v>
      </c>
      <c r="F50" s="53">
        <f t="shared" si="60"/>
        <v>606969.80443512357</v>
      </c>
      <c r="G50" s="53">
        <f t="shared" si="60"/>
        <v>687978.84878294042</v>
      </c>
      <c r="H50" s="139"/>
      <c r="I50" s="121"/>
      <c r="J50" s="103"/>
      <c r="K50" s="25"/>
      <c r="L50" s="53">
        <f>SUM(L43:L49)</f>
        <v>642473</v>
      </c>
      <c r="M50" s="53">
        <f t="shared" ref="M50:Y50" si="61">SUM(M43:M49)</f>
        <v>536351</v>
      </c>
      <c r="N50" s="53">
        <f t="shared" si="61"/>
        <v>603385</v>
      </c>
      <c r="O50" s="53">
        <f t="shared" si="61"/>
        <v>582857</v>
      </c>
      <c r="P50" s="53">
        <f t="shared" si="61"/>
        <v>457388</v>
      </c>
      <c r="Q50" s="53">
        <f t="shared" si="61"/>
        <v>528450</v>
      </c>
      <c r="R50" s="53">
        <f t="shared" si="61"/>
        <v>524395</v>
      </c>
      <c r="S50" s="53">
        <f t="shared" si="61"/>
        <v>414604</v>
      </c>
      <c r="T50" s="53">
        <f t="shared" si="61"/>
        <v>441892</v>
      </c>
      <c r="U50" s="53">
        <f t="shared" si="61"/>
        <v>431901</v>
      </c>
      <c r="V50" s="53">
        <f t="shared" si="61"/>
        <v>380679</v>
      </c>
      <c r="W50" s="53">
        <f t="shared" si="61"/>
        <v>424069</v>
      </c>
      <c r="X50" s="53">
        <f t="shared" si="61"/>
        <v>376461</v>
      </c>
      <c r="Y50" s="53">
        <f t="shared" si="61"/>
        <v>310269</v>
      </c>
    </row>
    <row r="51" spans="2:25" s="39" customFormat="1" x14ac:dyDescent="0.3">
      <c r="B51" s="76" t="s">
        <v>212</v>
      </c>
      <c r="C51" s="25"/>
      <c r="D51" s="77">
        <f t="shared" ref="D51:G51" si="62">D42 - D50</f>
        <v>66961.251055641915</v>
      </c>
      <c r="E51" s="77">
        <f t="shared" si="62"/>
        <v>64970.128362648771</v>
      </c>
      <c r="F51" s="77">
        <f t="shared" si="62"/>
        <v>42875.057498513837</v>
      </c>
      <c r="G51" s="77">
        <f t="shared" si="62"/>
        <v>56662.683536039083</v>
      </c>
      <c r="H51" s="141"/>
      <c r="I51" s="123"/>
      <c r="J51" s="105"/>
      <c r="K51" s="25"/>
      <c r="L51" s="77">
        <f>L42 - L50</f>
        <v>71721</v>
      </c>
      <c r="M51" s="77">
        <f t="shared" ref="M51:Y51" si="63">M42 - M50</f>
        <v>41252</v>
      </c>
      <c r="N51" s="77">
        <f t="shared" si="63"/>
        <v>49960</v>
      </c>
      <c r="O51" s="77">
        <f t="shared" si="63"/>
        <v>40829</v>
      </c>
      <c r="P51" s="77">
        <f t="shared" si="63"/>
        <v>23721</v>
      </c>
      <c r="Q51" s="77">
        <f t="shared" si="63"/>
        <v>39392</v>
      </c>
      <c r="R51" s="77">
        <f t="shared" si="63"/>
        <v>33703</v>
      </c>
      <c r="S51" s="77">
        <f t="shared" si="63"/>
        <v>23253</v>
      </c>
      <c r="T51" s="77">
        <f t="shared" si="63"/>
        <v>34531</v>
      </c>
      <c r="U51" s="77">
        <f t="shared" si="63"/>
        <v>24965</v>
      </c>
      <c r="V51" s="77">
        <f t="shared" si="63"/>
        <v>26301</v>
      </c>
      <c r="W51" s="77">
        <f t="shared" si="63"/>
        <v>18395</v>
      </c>
      <c r="X51" s="77">
        <f t="shared" si="63"/>
        <v>24786</v>
      </c>
      <c r="Y51" s="77">
        <f t="shared" si="63"/>
        <v>14101</v>
      </c>
    </row>
    <row r="52" spans="2:25" s="74" customFormat="1" x14ac:dyDescent="0.3">
      <c r="B52" s="245" t="s">
        <v>213</v>
      </c>
      <c r="C52" s="29"/>
      <c r="D52" s="32">
        <f>D51 * D15</f>
        <v>16602.592317109607</v>
      </c>
      <c r="E52" s="32">
        <f>E51 * E15</f>
        <v>16108.906822828132</v>
      </c>
      <c r="F52" s="32">
        <f>F51 * F15</f>
        <v>10630.582448780006</v>
      </c>
      <c r="G52" s="32">
        <f>G51 * G15</f>
        <v>14049.131692006993</v>
      </c>
      <c r="H52" s="129"/>
      <c r="I52" s="111"/>
      <c r="J52" s="93"/>
      <c r="K52" s="29"/>
      <c r="L52" s="32">
        <v>17219</v>
      </c>
      <c r="M52" s="32">
        <v>9610</v>
      </c>
      <c r="N52" s="32">
        <v>12226</v>
      </c>
      <c r="O52" s="32">
        <v>10957</v>
      </c>
      <c r="P52" s="32">
        <v>5756</v>
      </c>
      <c r="Q52" s="32">
        <v>10198</v>
      </c>
      <c r="R52" s="32">
        <v>5620</v>
      </c>
      <c r="S52" s="32">
        <v>5810</v>
      </c>
      <c r="T52" s="32">
        <v>12346</v>
      </c>
      <c r="U52" s="32">
        <v>8196</v>
      </c>
      <c r="V52" s="32">
        <v>9452</v>
      </c>
      <c r="W52" s="32">
        <v>7501</v>
      </c>
      <c r="X52" s="32">
        <v>9034</v>
      </c>
      <c r="Y52" s="32">
        <v>5526</v>
      </c>
    </row>
    <row r="53" spans="2:25" s="39" customFormat="1" x14ac:dyDescent="0.3">
      <c r="B53" s="76" t="s">
        <v>214</v>
      </c>
      <c r="C53" s="25"/>
      <c r="D53" s="77">
        <f t="shared" ref="D53:G53" si="64">D51 - D52</f>
        <v>50358.658738532307</v>
      </c>
      <c r="E53" s="77">
        <f t="shared" si="64"/>
        <v>48861.221539820639</v>
      </c>
      <c r="F53" s="77">
        <f t="shared" si="64"/>
        <v>32244.475049733832</v>
      </c>
      <c r="G53" s="77">
        <f t="shared" si="64"/>
        <v>42613.551844032088</v>
      </c>
      <c r="H53" s="141"/>
      <c r="I53" s="123"/>
      <c r="J53" s="105"/>
      <c r="K53" s="25"/>
      <c r="L53" s="77">
        <f>L51 - L52</f>
        <v>54502</v>
      </c>
      <c r="M53" s="77">
        <f t="shared" ref="M53:Y53" si="65">M51 - M52</f>
        <v>31642</v>
      </c>
      <c r="N53" s="77">
        <f t="shared" si="65"/>
        <v>37734</v>
      </c>
      <c r="O53" s="77">
        <f t="shared" si="65"/>
        <v>29872</v>
      </c>
      <c r="P53" s="77">
        <f t="shared" si="65"/>
        <v>17965</v>
      </c>
      <c r="Q53" s="77">
        <f t="shared" si="65"/>
        <v>29194</v>
      </c>
      <c r="R53" s="77">
        <f t="shared" si="65"/>
        <v>28083</v>
      </c>
      <c r="S53" s="77">
        <f t="shared" si="65"/>
        <v>17443</v>
      </c>
      <c r="T53" s="77">
        <f t="shared" si="65"/>
        <v>22185</v>
      </c>
      <c r="U53" s="77">
        <f t="shared" si="65"/>
        <v>16769</v>
      </c>
      <c r="V53" s="77">
        <f t="shared" si="65"/>
        <v>16849</v>
      </c>
      <c r="W53" s="77">
        <f t="shared" si="65"/>
        <v>10894</v>
      </c>
      <c r="X53" s="77">
        <f t="shared" si="65"/>
        <v>15752</v>
      </c>
      <c r="Y53" s="77">
        <f t="shared" si="65"/>
        <v>8575</v>
      </c>
    </row>
    <row r="54" spans="2:25" s="39" customFormat="1" ht="6.9" customHeight="1" x14ac:dyDescent="0.3">
      <c r="B54" s="78"/>
      <c r="C54" s="25"/>
      <c r="D54" s="79"/>
      <c r="E54" s="79"/>
      <c r="F54" s="79"/>
      <c r="G54" s="79"/>
      <c r="H54" s="142"/>
      <c r="I54" s="124"/>
      <c r="J54" s="106"/>
      <c r="K54" s="25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</row>
    <row r="55" spans="2:25" hidden="1" outlineLevel="1" x14ac:dyDescent="0.3">
      <c r="B55" s="30" t="s">
        <v>215</v>
      </c>
      <c r="D55" s="34" t="str">
        <f t="shared" ref="D55:G57" si="66">$L55</f>
        <v>-</v>
      </c>
      <c r="E55" s="34" t="str">
        <f t="shared" si="66"/>
        <v>-</v>
      </c>
      <c r="F55" s="34" t="str">
        <f t="shared" si="66"/>
        <v>-</v>
      </c>
      <c r="G55" s="34" t="str">
        <f>$L55</f>
        <v>-</v>
      </c>
      <c r="H55" s="140"/>
      <c r="I55" s="122"/>
      <c r="J55" s="104"/>
      <c r="L55" s="34" t="s">
        <v>207</v>
      </c>
      <c r="M55" s="34" t="s">
        <v>207</v>
      </c>
      <c r="N55" s="34" t="s">
        <v>207</v>
      </c>
      <c r="O55" s="34" t="s">
        <v>207</v>
      </c>
      <c r="P55" s="34" t="s">
        <v>207</v>
      </c>
      <c r="Q55" s="34" t="s">
        <v>207</v>
      </c>
      <c r="R55" s="34" t="s">
        <v>207</v>
      </c>
      <c r="S55" s="34" t="s">
        <v>207</v>
      </c>
      <c r="T55" s="32">
        <v>1218</v>
      </c>
      <c r="U55" s="32">
        <v>1219</v>
      </c>
      <c r="V55" s="32">
        <v>1219</v>
      </c>
      <c r="W55" s="32">
        <v>1218</v>
      </c>
      <c r="X55" s="32">
        <v>1219</v>
      </c>
      <c r="Y55" s="32">
        <v>1219</v>
      </c>
    </row>
    <row r="56" spans="2:25" hidden="1" outlineLevel="1" x14ac:dyDescent="0.3">
      <c r="B56" s="30" t="s">
        <v>216</v>
      </c>
      <c r="D56" s="34" t="str">
        <f t="shared" si="66"/>
        <v>-</v>
      </c>
      <c r="E56" s="34" t="str">
        <f t="shared" si="66"/>
        <v>-</v>
      </c>
      <c r="F56" s="34" t="str">
        <f t="shared" si="66"/>
        <v>-</v>
      </c>
      <c r="G56" s="34" t="str">
        <f t="shared" si="66"/>
        <v>-</v>
      </c>
      <c r="H56" s="140"/>
      <c r="I56" s="122"/>
      <c r="J56" s="104"/>
      <c r="L56" s="34" t="s">
        <v>207</v>
      </c>
      <c r="M56" s="34" t="s">
        <v>207</v>
      </c>
      <c r="N56" s="34" t="s">
        <v>207</v>
      </c>
      <c r="O56" s="34" t="s">
        <v>207</v>
      </c>
      <c r="P56" s="34" t="s">
        <v>207</v>
      </c>
      <c r="Q56" s="34" t="s">
        <v>207</v>
      </c>
      <c r="R56" s="34" t="s">
        <v>207</v>
      </c>
      <c r="S56" s="34" t="s">
        <v>207</v>
      </c>
      <c r="T56" s="32">
        <v>2257</v>
      </c>
      <c r="U56" s="34" t="s">
        <v>207</v>
      </c>
      <c r="V56" s="34" t="s">
        <v>207</v>
      </c>
      <c r="W56" s="34" t="s">
        <v>207</v>
      </c>
      <c r="X56" s="34" t="s">
        <v>207</v>
      </c>
      <c r="Y56" s="34" t="s">
        <v>207</v>
      </c>
    </row>
    <row r="57" spans="2:25" s="39" customFormat="1" hidden="1" outlineLevel="1" x14ac:dyDescent="0.3">
      <c r="B57" s="73" t="s">
        <v>217</v>
      </c>
      <c r="C57" s="25"/>
      <c r="D57" s="34" t="str">
        <f t="shared" si="66"/>
        <v>-</v>
      </c>
      <c r="E57" s="34" t="str">
        <f t="shared" si="66"/>
        <v>-</v>
      </c>
      <c r="F57" s="34" t="str">
        <f t="shared" si="66"/>
        <v>-</v>
      </c>
      <c r="G57" s="34" t="str">
        <f t="shared" si="66"/>
        <v>-</v>
      </c>
      <c r="H57" s="143"/>
      <c r="I57" s="125"/>
      <c r="J57" s="107"/>
      <c r="K57" s="25"/>
      <c r="L57" s="75" t="s">
        <v>207</v>
      </c>
      <c r="M57" s="75" t="s">
        <v>207</v>
      </c>
      <c r="N57" s="53">
        <v>37838</v>
      </c>
      <c r="O57" s="75" t="s">
        <v>207</v>
      </c>
      <c r="P57" s="75" t="s">
        <v>207</v>
      </c>
      <c r="Q57" s="53">
        <v>29282</v>
      </c>
      <c r="R57" s="53">
        <v>27911</v>
      </c>
      <c r="S57" s="53">
        <v>18063</v>
      </c>
      <c r="T57" s="53">
        <v>18852</v>
      </c>
      <c r="U57" s="53">
        <v>15770</v>
      </c>
      <c r="V57" s="53">
        <v>15664</v>
      </c>
      <c r="W57" s="53">
        <v>9724</v>
      </c>
      <c r="X57" s="53">
        <v>14697</v>
      </c>
      <c r="Y57" s="53">
        <v>7970</v>
      </c>
    </row>
    <row r="58" spans="2:25" hidden="1" outlineLevel="1" x14ac:dyDescent="0.3">
      <c r="B58" s="30" t="s">
        <v>218</v>
      </c>
      <c r="L58" s="32">
        <v>28531</v>
      </c>
      <c r="M58" s="32">
        <v>28478</v>
      </c>
      <c r="N58" s="32">
        <v>27981</v>
      </c>
      <c r="O58" s="32">
        <v>27599</v>
      </c>
      <c r="P58" s="32">
        <v>27498</v>
      </c>
      <c r="Q58" s="32">
        <v>28469</v>
      </c>
      <c r="R58" s="32">
        <v>28571</v>
      </c>
      <c r="S58" s="32">
        <v>28124</v>
      </c>
      <c r="T58" s="32">
        <v>25581</v>
      </c>
      <c r="U58" s="32">
        <v>24990</v>
      </c>
      <c r="V58" s="32">
        <v>24738</v>
      </c>
      <c r="W58" s="32">
        <v>24669</v>
      </c>
      <c r="X58" s="32">
        <v>24669</v>
      </c>
      <c r="Y58" s="32">
        <v>24657</v>
      </c>
    </row>
    <row r="59" spans="2:25" hidden="1" outlineLevel="1" x14ac:dyDescent="0.3">
      <c r="B59" s="30" t="s">
        <v>219</v>
      </c>
      <c r="L59" s="32">
        <v>28836</v>
      </c>
      <c r="M59" s="32">
        <v>29009</v>
      </c>
      <c r="N59" s="32">
        <v>28598</v>
      </c>
      <c r="O59" s="32">
        <v>28090</v>
      </c>
      <c r="P59" s="32">
        <v>27970</v>
      </c>
      <c r="Q59" s="32">
        <v>28906</v>
      </c>
      <c r="R59" s="32">
        <v>29101</v>
      </c>
      <c r="S59" s="32">
        <v>30544</v>
      </c>
      <c r="T59" s="32">
        <v>30675</v>
      </c>
      <c r="U59" s="32">
        <v>30619</v>
      </c>
      <c r="V59" s="32">
        <v>30329</v>
      </c>
      <c r="W59" s="32">
        <v>30139</v>
      </c>
      <c r="X59" s="32">
        <v>30077</v>
      </c>
      <c r="Y59" s="32">
        <v>30032</v>
      </c>
    </row>
    <row r="60" spans="2:25" hidden="1" outlineLevel="1" x14ac:dyDescent="0.3">
      <c r="B60" s="30" t="s">
        <v>220</v>
      </c>
      <c r="L60" s="32">
        <v>28543.629000000001</v>
      </c>
      <c r="M60" s="32">
        <v>28523.329000000002</v>
      </c>
      <c r="N60" s="32">
        <v>28142.916000000001</v>
      </c>
      <c r="O60" s="32">
        <v>27617.366000000002</v>
      </c>
      <c r="P60" s="32">
        <v>27568.826000000001</v>
      </c>
      <c r="Q60" s="32">
        <v>28133.363000000001</v>
      </c>
      <c r="R60" s="32">
        <v>28570.852999999999</v>
      </c>
      <c r="S60" s="32">
        <v>28570.852999999999</v>
      </c>
      <c r="T60" s="32">
        <v>27520.632000000001</v>
      </c>
      <c r="U60" s="32">
        <v>25104.552</v>
      </c>
      <c r="V60" s="32">
        <v>24794.792000000001</v>
      </c>
      <c r="W60" s="32">
        <v>24668.832999999999</v>
      </c>
      <c r="X60" s="32">
        <v>24668.832999999999</v>
      </c>
      <c r="Y60" s="32">
        <v>24665.705000000002</v>
      </c>
    </row>
    <row r="61" spans="2:25" hidden="1" outlineLevel="1" x14ac:dyDescent="0.3">
      <c r="B61" s="30" t="s">
        <v>221</v>
      </c>
      <c r="L61" s="31">
        <v>1.91</v>
      </c>
      <c r="M61" s="31">
        <v>1.1100000000000001</v>
      </c>
      <c r="N61" s="31">
        <v>1.35</v>
      </c>
      <c r="O61" s="31">
        <v>1.1000000000000001</v>
      </c>
      <c r="P61" s="31">
        <v>0.64</v>
      </c>
      <c r="Q61" s="31">
        <v>1.03</v>
      </c>
      <c r="R61" s="31">
        <v>0.98</v>
      </c>
      <c r="S61" s="31">
        <v>0.64</v>
      </c>
      <c r="T61" s="31">
        <v>0.74</v>
      </c>
      <c r="U61" s="31">
        <v>0.63</v>
      </c>
      <c r="V61" s="31">
        <v>0.63</v>
      </c>
      <c r="W61" s="31">
        <v>0.39</v>
      </c>
      <c r="X61" s="31">
        <v>0.6</v>
      </c>
      <c r="Y61" s="31">
        <v>0.32</v>
      </c>
    </row>
    <row r="62" spans="2:25" hidden="1" outlineLevel="1" x14ac:dyDescent="0.3">
      <c r="B62" s="30" t="s">
        <v>222</v>
      </c>
      <c r="L62" s="31">
        <v>1.89</v>
      </c>
      <c r="M62" s="31">
        <v>1.0900000000000001</v>
      </c>
      <c r="N62" s="31">
        <v>1.32</v>
      </c>
      <c r="O62" s="31">
        <v>1.08</v>
      </c>
      <c r="P62" s="31">
        <v>0.63</v>
      </c>
      <c r="Q62" s="31">
        <v>1.01</v>
      </c>
      <c r="R62" s="31">
        <v>0.96</v>
      </c>
      <c r="S62" s="31">
        <v>0.6</v>
      </c>
      <c r="T62" s="31">
        <v>0.64</v>
      </c>
      <c r="U62" s="31">
        <v>0.55000000000000004</v>
      </c>
      <c r="V62" s="31">
        <v>0.55000000000000004</v>
      </c>
      <c r="W62" s="31">
        <v>0.35</v>
      </c>
      <c r="X62" s="31">
        <v>0.52</v>
      </c>
      <c r="Y62" s="31">
        <v>0.3</v>
      </c>
    </row>
    <row r="63" spans="2:25" customFormat="1" collapsed="1" x14ac:dyDescent="0.3">
      <c r="H63" s="133"/>
      <c r="I63" s="115"/>
      <c r="J63" s="98"/>
    </row>
    <row r="64" spans="2:25" s="64" customFormat="1" x14ac:dyDescent="0.3">
      <c r="B64" s="56" t="s">
        <v>223</v>
      </c>
      <c r="C64" s="3"/>
      <c r="D64" s="57"/>
      <c r="E64" s="57"/>
      <c r="F64" s="57"/>
      <c r="G64" s="57"/>
      <c r="H64" s="138"/>
      <c r="I64" s="120"/>
      <c r="J64" s="102"/>
      <c r="K64" s="3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</row>
    <row r="65" spans="2:25" s="84" customFormat="1" x14ac:dyDescent="0.3">
      <c r="B65" s="87" t="s">
        <v>224</v>
      </c>
      <c r="C65" s="85"/>
      <c r="D65" s="86"/>
      <c r="E65" s="86"/>
      <c r="F65" s="86"/>
      <c r="G65" s="86"/>
      <c r="H65" s="144"/>
      <c r="I65" s="126"/>
      <c r="J65" s="108"/>
      <c r="K65" s="85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</row>
    <row r="66" spans="2:25" s="74" customFormat="1" x14ac:dyDescent="0.3">
      <c r="B66" s="88" t="s">
        <v>225</v>
      </c>
      <c r="C66" s="29"/>
      <c r="D66" s="83">
        <f t="shared" ref="D66:G76" si="67">ROUND(D18 * D$42, -2)</f>
        <v>0</v>
      </c>
      <c r="E66" s="83">
        <f t="shared" si="67"/>
        <v>0</v>
      </c>
      <c r="F66" s="83">
        <f t="shared" si="67"/>
        <v>0</v>
      </c>
      <c r="G66" s="83">
        <f t="shared" si="67"/>
        <v>0</v>
      </c>
      <c r="H66" s="145"/>
      <c r="I66" s="127"/>
      <c r="J66" s="109"/>
      <c r="K66" s="29"/>
      <c r="L66" s="83">
        <v>0</v>
      </c>
      <c r="M66" s="83">
        <v>0</v>
      </c>
      <c r="N66" s="83">
        <v>0</v>
      </c>
      <c r="O66" s="83">
        <v>0</v>
      </c>
      <c r="P66" s="83">
        <v>0</v>
      </c>
      <c r="Q66" s="83">
        <v>0</v>
      </c>
      <c r="R66" s="83">
        <v>0</v>
      </c>
      <c r="S66" s="83">
        <v>0</v>
      </c>
      <c r="T66" s="83">
        <v>0</v>
      </c>
      <c r="U66" s="83">
        <v>0</v>
      </c>
      <c r="V66" s="83">
        <v>0</v>
      </c>
      <c r="W66" s="83">
        <v>22310</v>
      </c>
      <c r="X66" s="83">
        <v>27672</v>
      </c>
      <c r="Y66" s="83">
        <v>31755</v>
      </c>
    </row>
    <row r="67" spans="2:25" x14ac:dyDescent="0.3">
      <c r="B67" s="89" t="s">
        <v>226</v>
      </c>
      <c r="D67" s="34">
        <f t="shared" si="67"/>
        <v>0</v>
      </c>
      <c r="E67" s="34">
        <f t="shared" si="67"/>
        <v>0</v>
      </c>
      <c r="F67" s="34">
        <f t="shared" si="67"/>
        <v>0</v>
      </c>
      <c r="G67" s="34">
        <f t="shared" si="67"/>
        <v>0</v>
      </c>
      <c r="H67" s="140"/>
      <c r="I67" s="122"/>
      <c r="J67" s="104"/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2">
        <v>998</v>
      </c>
      <c r="X67" s="32">
        <v>2328</v>
      </c>
      <c r="Y67" s="32">
        <v>2566</v>
      </c>
    </row>
    <row r="68" spans="2:25" x14ac:dyDescent="0.3">
      <c r="B68" s="89" t="s">
        <v>227</v>
      </c>
      <c r="D68" s="32">
        <f t="shared" si="67"/>
        <v>114800</v>
      </c>
      <c r="E68" s="32">
        <f t="shared" si="67"/>
        <v>109200</v>
      </c>
      <c r="F68" s="32">
        <f t="shared" si="67"/>
        <v>85600</v>
      </c>
      <c r="G68" s="32">
        <f t="shared" si="67"/>
        <v>98000</v>
      </c>
      <c r="L68" s="32">
        <v>94023</v>
      </c>
      <c r="M68" s="32">
        <v>21184</v>
      </c>
      <c r="N68" s="32">
        <v>33451</v>
      </c>
      <c r="O68" s="32">
        <v>20393</v>
      </c>
      <c r="P68" s="32">
        <v>41931</v>
      </c>
      <c r="Q68" s="32">
        <v>36360</v>
      </c>
      <c r="R68" s="32">
        <v>67817</v>
      </c>
      <c r="S68" s="32">
        <v>53577</v>
      </c>
      <c r="T68" s="32">
        <v>103636</v>
      </c>
      <c r="U68" s="32">
        <v>29940</v>
      </c>
      <c r="V68" s="32">
        <v>38898</v>
      </c>
      <c r="W68" s="34" t="s">
        <v>207</v>
      </c>
      <c r="X68" s="34" t="s">
        <v>207</v>
      </c>
      <c r="Y68" s="34" t="s">
        <v>207</v>
      </c>
    </row>
    <row r="69" spans="2:25" x14ac:dyDescent="0.3">
      <c r="B69" s="89" t="s">
        <v>228</v>
      </c>
      <c r="D69" s="32">
        <f t="shared" si="67"/>
        <v>174100</v>
      </c>
      <c r="E69" s="32">
        <f t="shared" si="67"/>
        <v>171700</v>
      </c>
      <c r="F69" s="32">
        <f t="shared" si="67"/>
        <v>167200</v>
      </c>
      <c r="G69" s="32">
        <f t="shared" si="67"/>
        <v>147000</v>
      </c>
      <c r="L69" s="32">
        <v>163536</v>
      </c>
      <c r="M69" s="32">
        <v>156208</v>
      </c>
      <c r="N69" s="32">
        <v>128322</v>
      </c>
      <c r="O69" s="32">
        <v>123909</v>
      </c>
      <c r="P69" s="32">
        <v>119665</v>
      </c>
      <c r="Q69" s="32">
        <v>115189</v>
      </c>
      <c r="R69" s="32">
        <v>108000</v>
      </c>
      <c r="S69" s="32">
        <v>110612</v>
      </c>
      <c r="T69" s="32">
        <v>91987</v>
      </c>
      <c r="U69" s="32">
        <v>91986</v>
      </c>
      <c r="V69" s="32">
        <v>113596</v>
      </c>
      <c r="W69" s="32">
        <v>95545</v>
      </c>
      <c r="X69" s="32">
        <v>100379</v>
      </c>
      <c r="Y69" s="32">
        <v>94438</v>
      </c>
    </row>
    <row r="70" spans="2:25" x14ac:dyDescent="0.3">
      <c r="B70" s="89" t="s">
        <v>229</v>
      </c>
      <c r="D70" s="32">
        <f t="shared" si="67"/>
        <v>1129800</v>
      </c>
      <c r="E70" s="32">
        <f t="shared" si="67"/>
        <v>1050300</v>
      </c>
      <c r="F70" s="32">
        <f t="shared" si="67"/>
        <v>1050100</v>
      </c>
      <c r="G70" s="32">
        <f t="shared" si="67"/>
        <v>988600</v>
      </c>
      <c r="L70" s="32">
        <v>843649</v>
      </c>
      <c r="M70" s="32">
        <v>837686</v>
      </c>
      <c r="N70" s="32">
        <v>824835</v>
      </c>
      <c r="O70" s="32">
        <v>804453</v>
      </c>
      <c r="P70" s="32">
        <v>807324</v>
      </c>
      <c r="Q70" s="32">
        <v>754322</v>
      </c>
      <c r="R70" s="32">
        <v>740972</v>
      </c>
      <c r="S70" s="32">
        <v>752921</v>
      </c>
      <c r="T70" s="32">
        <v>663170</v>
      </c>
      <c r="U70" s="32">
        <v>637268</v>
      </c>
      <c r="V70" s="32">
        <v>616239</v>
      </c>
      <c r="W70" s="32">
        <v>554150</v>
      </c>
      <c r="X70" s="32">
        <v>563112</v>
      </c>
      <c r="Y70" s="34" t="s">
        <v>207</v>
      </c>
    </row>
    <row r="71" spans="2:25" x14ac:dyDescent="0.3">
      <c r="B71" s="89" t="s">
        <v>230</v>
      </c>
      <c r="D71" s="32">
        <f t="shared" si="67"/>
        <v>2900</v>
      </c>
      <c r="E71" s="32">
        <f t="shared" si="67"/>
        <v>2800</v>
      </c>
      <c r="F71" s="32">
        <f t="shared" si="67"/>
        <v>2200</v>
      </c>
      <c r="G71" s="32">
        <f t="shared" si="67"/>
        <v>2500</v>
      </c>
      <c r="L71" s="32">
        <v>2385</v>
      </c>
      <c r="M71" s="32">
        <v>1164</v>
      </c>
      <c r="N71" s="32">
        <v>8465</v>
      </c>
      <c r="O71" s="32">
        <v>13018</v>
      </c>
      <c r="P71" s="32">
        <v>8732</v>
      </c>
      <c r="Q71" s="32">
        <v>14312</v>
      </c>
      <c r="R71" s="32">
        <v>12715</v>
      </c>
      <c r="S71" s="32">
        <v>3571</v>
      </c>
      <c r="T71" s="32">
        <v>12330</v>
      </c>
      <c r="U71" s="32">
        <v>17051</v>
      </c>
      <c r="V71" s="32">
        <v>10475</v>
      </c>
      <c r="W71" s="32">
        <v>15956</v>
      </c>
      <c r="X71" s="32">
        <v>11597</v>
      </c>
      <c r="Y71" s="34" t="s">
        <v>207</v>
      </c>
    </row>
    <row r="72" spans="2:25" x14ac:dyDescent="0.3">
      <c r="B72" s="89" t="s">
        <v>231</v>
      </c>
      <c r="D72" s="32">
        <f t="shared" si="67"/>
        <v>1134600</v>
      </c>
      <c r="E72" s="32">
        <f t="shared" si="67"/>
        <v>1079100</v>
      </c>
      <c r="F72" s="32">
        <f t="shared" si="67"/>
        <v>845400</v>
      </c>
      <c r="G72" s="32">
        <f t="shared" si="67"/>
        <v>968700</v>
      </c>
      <c r="L72" s="32">
        <v>834661</v>
      </c>
      <c r="M72" s="32">
        <v>829230</v>
      </c>
      <c r="N72" s="32">
        <v>848302</v>
      </c>
      <c r="O72" s="32">
        <v>796479</v>
      </c>
      <c r="P72" s="32">
        <v>760756</v>
      </c>
      <c r="Q72" s="32">
        <v>831129</v>
      </c>
      <c r="R72" s="32">
        <v>757478</v>
      </c>
      <c r="S72" s="32">
        <v>678122</v>
      </c>
      <c r="T72" s="32">
        <v>645816</v>
      </c>
      <c r="U72" s="32">
        <v>600376</v>
      </c>
      <c r="V72" s="32">
        <v>538758</v>
      </c>
      <c r="W72" s="32">
        <v>544350</v>
      </c>
      <c r="X72" s="32">
        <v>487895</v>
      </c>
      <c r="Y72" s="34" t="s">
        <v>207</v>
      </c>
    </row>
    <row r="73" spans="2:25" x14ac:dyDescent="0.3">
      <c r="B73" s="89" t="s">
        <v>232</v>
      </c>
      <c r="D73" s="32">
        <f t="shared" si="67"/>
        <v>126800</v>
      </c>
      <c r="E73" s="32">
        <f t="shared" si="67"/>
        <v>118000</v>
      </c>
      <c r="F73" s="32">
        <f t="shared" si="67"/>
        <v>116700</v>
      </c>
      <c r="G73" s="32">
        <f t="shared" si="67"/>
        <v>111600</v>
      </c>
      <c r="L73" s="32">
        <v>94532</v>
      </c>
      <c r="M73" s="32">
        <v>95548</v>
      </c>
      <c r="N73" s="32">
        <v>96060</v>
      </c>
      <c r="O73" s="32">
        <v>93201</v>
      </c>
      <c r="P73" s="32">
        <v>92942</v>
      </c>
      <c r="Q73" s="32">
        <v>81642</v>
      </c>
      <c r="R73" s="32">
        <v>80901</v>
      </c>
      <c r="S73" s="32">
        <v>78869</v>
      </c>
      <c r="T73" s="32">
        <v>75618</v>
      </c>
      <c r="U73" s="32">
        <v>76824</v>
      </c>
      <c r="V73" s="32">
        <v>72108</v>
      </c>
      <c r="W73" s="32">
        <v>71290</v>
      </c>
      <c r="X73" s="32">
        <v>72015</v>
      </c>
      <c r="Y73" s="34" t="s">
        <v>207</v>
      </c>
    </row>
    <row r="74" spans="2:25" x14ac:dyDescent="0.3">
      <c r="B74" s="89" t="s">
        <v>233</v>
      </c>
      <c r="D74" s="32">
        <f t="shared" si="67"/>
        <v>17600</v>
      </c>
      <c r="E74" s="32">
        <f t="shared" si="67"/>
        <v>16700</v>
      </c>
      <c r="F74" s="32">
        <f t="shared" si="67"/>
        <v>13100</v>
      </c>
      <c r="G74" s="32">
        <f t="shared" si="67"/>
        <v>15000</v>
      </c>
      <c r="L74" s="32">
        <v>11560</v>
      </c>
      <c r="M74" s="32">
        <v>12914</v>
      </c>
      <c r="N74" s="32">
        <v>14328</v>
      </c>
      <c r="O74" s="32">
        <v>10866</v>
      </c>
      <c r="P74" s="32">
        <v>11728</v>
      </c>
      <c r="Q74" s="32">
        <v>16101</v>
      </c>
      <c r="R74" s="32">
        <v>11789</v>
      </c>
      <c r="S74" s="32">
        <v>12499</v>
      </c>
      <c r="T74" s="32">
        <v>5298</v>
      </c>
      <c r="U74" s="32">
        <v>5875</v>
      </c>
      <c r="V74" s="32">
        <v>6277</v>
      </c>
      <c r="W74" s="32">
        <v>551</v>
      </c>
      <c r="X74" s="32">
        <v>722</v>
      </c>
      <c r="Y74" s="34" t="s">
        <v>207</v>
      </c>
    </row>
    <row r="75" spans="2:25" x14ac:dyDescent="0.3">
      <c r="B75" s="89" t="s">
        <v>234</v>
      </c>
      <c r="D75" s="32">
        <f t="shared" si="67"/>
        <v>32800</v>
      </c>
      <c r="E75" s="32">
        <f t="shared" si="67"/>
        <v>32800</v>
      </c>
      <c r="F75" s="32">
        <f t="shared" si="67"/>
        <v>27000</v>
      </c>
      <c r="G75" s="32">
        <f t="shared" si="67"/>
        <v>34000</v>
      </c>
      <c r="L75" s="32">
        <v>32988</v>
      </c>
      <c r="M75" s="32">
        <v>31705</v>
      </c>
      <c r="N75" s="32">
        <v>28391</v>
      </c>
      <c r="O75" s="32">
        <v>32353</v>
      </c>
      <c r="P75" s="32">
        <v>33386</v>
      </c>
      <c r="Q75" s="32">
        <v>32122</v>
      </c>
      <c r="R75" s="32">
        <v>33820</v>
      </c>
      <c r="S75" s="32">
        <v>36163</v>
      </c>
      <c r="T75" s="32">
        <v>31374</v>
      </c>
      <c r="U75" s="32">
        <v>29887</v>
      </c>
      <c r="V75" s="32">
        <v>30795</v>
      </c>
      <c r="W75" s="32">
        <v>32994</v>
      </c>
      <c r="X75" s="32">
        <v>29815</v>
      </c>
      <c r="Y75" s="34" t="s">
        <v>207</v>
      </c>
    </row>
    <row r="76" spans="2:25" x14ac:dyDescent="0.3">
      <c r="B76" s="89" t="s">
        <v>235</v>
      </c>
      <c r="D76" s="32">
        <f t="shared" si="67"/>
        <v>9500</v>
      </c>
      <c r="E76" s="32">
        <f t="shared" si="67"/>
        <v>10300</v>
      </c>
      <c r="F76" s="32">
        <f t="shared" si="67"/>
        <v>9100</v>
      </c>
      <c r="G76" s="32">
        <f t="shared" si="67"/>
        <v>12700</v>
      </c>
      <c r="L76" s="32">
        <v>11035</v>
      </c>
      <c r="M76" s="32">
        <v>14284</v>
      </c>
      <c r="N76" s="32">
        <v>6687</v>
      </c>
      <c r="O76" s="32">
        <v>13109</v>
      </c>
      <c r="P76" s="32">
        <v>15920</v>
      </c>
      <c r="Q76" s="32">
        <v>21897</v>
      </c>
      <c r="R76" s="32">
        <v>14793</v>
      </c>
      <c r="S76" s="32">
        <v>18199</v>
      </c>
      <c r="T76" s="32">
        <v>22203</v>
      </c>
      <c r="U76" s="32">
        <v>12263</v>
      </c>
      <c r="V76" s="32">
        <v>11966</v>
      </c>
      <c r="W76" s="32">
        <v>5862</v>
      </c>
      <c r="X76" s="32">
        <v>5169</v>
      </c>
      <c r="Y76" s="34" t="s">
        <v>207</v>
      </c>
    </row>
    <row r="77" spans="2:25" x14ac:dyDescent="0.3">
      <c r="B77" s="89" t="s">
        <v>236</v>
      </c>
      <c r="D77" s="32">
        <f t="shared" ref="D77:F77" si="68">ROUND(AVERAGE($L77:$N77), -4)</f>
        <v>1830000</v>
      </c>
      <c r="E77" s="32">
        <f t="shared" si="68"/>
        <v>1830000</v>
      </c>
      <c r="F77" s="32">
        <f t="shared" si="68"/>
        <v>1830000</v>
      </c>
      <c r="G77" s="32">
        <f>ROUND(AVERAGE($L77:$N77), -4)</f>
        <v>1830000</v>
      </c>
      <c r="L77" s="32">
        <v>1830810</v>
      </c>
      <c r="M77" s="32">
        <v>1822531</v>
      </c>
      <c r="N77" s="32">
        <v>1827068</v>
      </c>
      <c r="O77" s="32">
        <v>1763479</v>
      </c>
      <c r="P77" s="32">
        <v>1730788</v>
      </c>
      <c r="Q77" s="32">
        <v>1751525</v>
      </c>
      <c r="R77" s="32">
        <v>1652468</v>
      </c>
      <c r="S77" s="32">
        <v>1580344</v>
      </c>
      <c r="T77" s="32">
        <v>1455809</v>
      </c>
      <c r="U77" s="32">
        <v>1379544</v>
      </c>
      <c r="V77" s="32">
        <v>1286618</v>
      </c>
      <c r="W77" s="32">
        <v>1225153</v>
      </c>
      <c r="X77" s="32">
        <v>1170325</v>
      </c>
      <c r="Y77" s="32">
        <v>1153537</v>
      </c>
    </row>
    <row r="78" spans="2:25" s="64" customFormat="1" x14ac:dyDescent="0.3">
      <c r="B78" s="87" t="s">
        <v>237</v>
      </c>
      <c r="C78" s="72"/>
      <c r="D78" s="82"/>
      <c r="E78" s="82"/>
      <c r="F78" s="82"/>
      <c r="G78" s="82"/>
      <c r="H78" s="146"/>
      <c r="I78" s="128"/>
      <c r="J78" s="110"/>
      <c r="K78" s="7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</row>
    <row r="79" spans="2:25" s="74" customFormat="1" x14ac:dyDescent="0.3">
      <c r="B79" s="88" t="s">
        <v>238</v>
      </c>
      <c r="C79" s="29"/>
      <c r="D79" s="83">
        <f t="shared" ref="D79:G84" si="69">ROUND(AVERAGE($L79:$N79), -2)</f>
        <v>23200</v>
      </c>
      <c r="E79" s="83">
        <f t="shared" si="69"/>
        <v>23200</v>
      </c>
      <c r="F79" s="83">
        <f t="shared" si="69"/>
        <v>23200</v>
      </c>
      <c r="G79" s="83">
        <f>ROUND(AVERAGE($L79:$N79), -2)</f>
        <v>23200</v>
      </c>
      <c r="H79" s="145"/>
      <c r="I79" s="127"/>
      <c r="J79" s="109"/>
      <c r="K79" s="29"/>
      <c r="L79" s="83">
        <v>21004</v>
      </c>
      <c r="M79" s="83">
        <v>21046</v>
      </c>
      <c r="N79" s="83">
        <v>27621</v>
      </c>
      <c r="O79" s="83">
        <v>28094</v>
      </c>
      <c r="P79" s="83">
        <v>28392</v>
      </c>
      <c r="Q79" s="83">
        <v>28691</v>
      </c>
      <c r="R79" s="83">
        <v>28885</v>
      </c>
      <c r="S79" s="83">
        <v>25872</v>
      </c>
      <c r="T79" s="83">
        <v>25320</v>
      </c>
      <c r="U79" s="83">
        <v>22255</v>
      </c>
      <c r="V79" s="83">
        <v>22338</v>
      </c>
      <c r="W79" s="83">
        <v>21792</v>
      </c>
      <c r="X79" s="83">
        <v>22154</v>
      </c>
      <c r="Y79" s="83">
        <v>22740</v>
      </c>
    </row>
    <row r="80" spans="2:25" x14ac:dyDescent="0.3">
      <c r="B80" s="89" t="s">
        <v>239</v>
      </c>
      <c r="D80" s="32">
        <f t="shared" si="69"/>
        <v>44300</v>
      </c>
      <c r="E80" s="32">
        <f t="shared" si="69"/>
        <v>44300</v>
      </c>
      <c r="F80" s="32">
        <f t="shared" si="69"/>
        <v>44300</v>
      </c>
      <c r="G80" s="32">
        <f t="shared" si="69"/>
        <v>44300</v>
      </c>
      <c r="L80" s="32">
        <v>45144</v>
      </c>
      <c r="M80" s="32">
        <v>40306</v>
      </c>
      <c r="N80" s="32">
        <v>47557</v>
      </c>
      <c r="O80" s="32">
        <v>41344</v>
      </c>
      <c r="P80" s="32">
        <v>40736</v>
      </c>
      <c r="Q80" s="32">
        <v>24568</v>
      </c>
      <c r="R80" s="32">
        <v>13753</v>
      </c>
      <c r="S80" s="32">
        <v>22066</v>
      </c>
      <c r="T80" s="32">
        <v>22981</v>
      </c>
      <c r="U80" s="32">
        <v>22877</v>
      </c>
      <c r="V80" s="32">
        <v>24218</v>
      </c>
      <c r="W80" s="32">
        <v>26528</v>
      </c>
      <c r="X80" s="32">
        <v>28160</v>
      </c>
      <c r="Y80" s="32">
        <v>25693</v>
      </c>
    </row>
    <row r="81" spans="2:25" x14ac:dyDescent="0.3">
      <c r="B81" s="89" t="s">
        <v>240</v>
      </c>
      <c r="D81" s="32">
        <f t="shared" si="69"/>
        <v>30100</v>
      </c>
      <c r="E81" s="32">
        <f t="shared" si="69"/>
        <v>30100</v>
      </c>
      <c r="F81" s="32">
        <f t="shared" si="69"/>
        <v>30100</v>
      </c>
      <c r="G81" s="32">
        <f t="shared" si="69"/>
        <v>30100</v>
      </c>
      <c r="L81" s="92">
        <v>51193</v>
      </c>
      <c r="M81" s="32">
        <v>20075</v>
      </c>
      <c r="N81" s="32">
        <v>19059</v>
      </c>
      <c r="O81" s="32">
        <v>19397</v>
      </c>
      <c r="P81" s="32">
        <v>20603</v>
      </c>
      <c r="Q81" s="34" t="s">
        <v>207</v>
      </c>
      <c r="R81" s="34" t="s">
        <v>207</v>
      </c>
      <c r="S81" s="34" t="s">
        <v>207</v>
      </c>
      <c r="T81" s="34" t="s">
        <v>207</v>
      </c>
      <c r="U81" s="34" t="s">
        <v>207</v>
      </c>
      <c r="V81" s="34" t="s">
        <v>207</v>
      </c>
      <c r="W81" s="34" t="s">
        <v>207</v>
      </c>
      <c r="X81" s="34" t="s">
        <v>207</v>
      </c>
      <c r="Y81" s="34" t="s">
        <v>207</v>
      </c>
    </row>
    <row r="82" spans="2:25" x14ac:dyDescent="0.3">
      <c r="B82" s="89" t="s">
        <v>241</v>
      </c>
      <c r="D82" s="32">
        <f t="shared" si="69"/>
        <v>10300</v>
      </c>
      <c r="E82" s="32">
        <f t="shared" si="69"/>
        <v>10300</v>
      </c>
      <c r="F82" s="32">
        <f t="shared" si="69"/>
        <v>10300</v>
      </c>
      <c r="G82" s="32">
        <f t="shared" si="69"/>
        <v>10300</v>
      </c>
      <c r="L82" s="32">
        <v>9378</v>
      </c>
      <c r="M82" s="32">
        <v>9540</v>
      </c>
      <c r="N82" s="32">
        <v>11988</v>
      </c>
      <c r="O82" s="32">
        <v>12594</v>
      </c>
      <c r="P82" s="32">
        <v>13146</v>
      </c>
      <c r="Q82" s="32">
        <v>16925</v>
      </c>
      <c r="R82" s="32">
        <v>17528</v>
      </c>
      <c r="S82" s="32">
        <v>18104</v>
      </c>
      <c r="T82" s="32">
        <v>29569</v>
      </c>
      <c r="U82" s="32">
        <v>30078</v>
      </c>
      <c r="V82" s="32">
        <v>30449</v>
      </c>
      <c r="W82" s="32">
        <v>39944</v>
      </c>
      <c r="X82" s="32">
        <v>47023</v>
      </c>
      <c r="Y82" s="32">
        <v>55860</v>
      </c>
    </row>
    <row r="83" spans="2:25" x14ac:dyDescent="0.3">
      <c r="B83" s="89" t="s">
        <v>242</v>
      </c>
      <c r="D83" s="32">
        <f t="shared" si="69"/>
        <v>16400</v>
      </c>
      <c r="E83" s="32">
        <f t="shared" si="69"/>
        <v>16400</v>
      </c>
      <c r="F83" s="32">
        <f t="shared" si="69"/>
        <v>16400</v>
      </c>
      <c r="G83" s="32">
        <f t="shared" si="69"/>
        <v>16400</v>
      </c>
      <c r="L83" s="32">
        <v>16400</v>
      </c>
      <c r="M83" s="32">
        <v>16400</v>
      </c>
      <c r="N83" s="32">
        <v>16400</v>
      </c>
      <c r="O83" s="32">
        <v>16400</v>
      </c>
      <c r="P83" s="32">
        <v>16400</v>
      </c>
      <c r="Q83" s="32">
        <v>16400</v>
      </c>
      <c r="R83" s="32">
        <v>16400</v>
      </c>
      <c r="S83" s="32">
        <v>16400</v>
      </c>
      <c r="T83" s="34" t="s">
        <v>207</v>
      </c>
      <c r="U83" s="34" t="s">
        <v>207</v>
      </c>
      <c r="V83" s="34" t="s">
        <v>207</v>
      </c>
      <c r="W83" s="34" t="s">
        <v>207</v>
      </c>
      <c r="X83" s="34" t="s">
        <v>207</v>
      </c>
      <c r="Y83" s="34" t="s">
        <v>207</v>
      </c>
    </row>
    <row r="84" spans="2:25" x14ac:dyDescent="0.3">
      <c r="B84" s="89" t="s">
        <v>243</v>
      </c>
      <c r="D84" s="32">
        <f t="shared" si="69"/>
        <v>86000</v>
      </c>
      <c r="E84" s="32">
        <f t="shared" si="69"/>
        <v>86000</v>
      </c>
      <c r="F84" s="32">
        <f t="shared" si="69"/>
        <v>86000</v>
      </c>
      <c r="G84" s="32">
        <f t="shared" si="69"/>
        <v>86000</v>
      </c>
      <c r="L84" s="92">
        <v>96220</v>
      </c>
      <c r="M84" s="32">
        <v>91673</v>
      </c>
      <c r="N84" s="32">
        <v>70137</v>
      </c>
      <c r="O84" s="32">
        <v>63596</v>
      </c>
      <c r="P84" s="32">
        <v>60117</v>
      </c>
      <c r="Q84" s="32">
        <v>68677</v>
      </c>
      <c r="R84" s="32">
        <v>65689</v>
      </c>
      <c r="S84" s="32">
        <v>67398</v>
      </c>
      <c r="T84" s="32">
        <v>55393</v>
      </c>
      <c r="U84" s="32">
        <v>54706</v>
      </c>
      <c r="V84" s="32">
        <v>56148</v>
      </c>
      <c r="W84" s="32">
        <v>64967</v>
      </c>
      <c r="X84" s="32">
        <v>55113</v>
      </c>
      <c r="Y84" s="32">
        <v>50123</v>
      </c>
    </row>
    <row r="85" spans="2:25" s="39" customFormat="1" x14ac:dyDescent="0.3">
      <c r="B85" s="76" t="s">
        <v>244</v>
      </c>
      <c r="C85" s="25"/>
      <c r="D85" s="77">
        <f t="shared" ref="D85:G85" si="70">SUM(D79:D84, D66:D77) - (SUM(D79:D84, D66:D77) - SUM(D105, D112))</f>
        <v>2688711.9071721192</v>
      </c>
      <c r="E85" s="77">
        <f t="shared" si="70"/>
        <v>2596053.2484335867</v>
      </c>
      <c r="F85" s="77">
        <f t="shared" si="70"/>
        <v>2449192.0268937661</v>
      </c>
      <c r="G85" s="77">
        <f t="shared" si="70"/>
        <v>2314947.551844032</v>
      </c>
      <c r="H85" s="141"/>
      <c r="I85" s="123"/>
      <c r="J85" s="105"/>
      <c r="K85" s="25"/>
      <c r="L85" s="77">
        <f>SUM(L79:L84, L66:L77) - (SUM(L79:L84, L66:L77) - SUM(L105, L112))</f>
        <v>2397688</v>
      </c>
      <c r="M85" s="77">
        <f t="shared" ref="M85:Y85" si="71">SUM(M79:M84, M66:M77) - (SUM(M79:M84, M66:M77) - SUM(M105, M112))</f>
        <v>2269833</v>
      </c>
      <c r="N85" s="77">
        <f t="shared" si="71"/>
        <v>2268777</v>
      </c>
      <c r="O85" s="77">
        <f t="shared" si="71"/>
        <v>2199354</v>
      </c>
      <c r="P85" s="77">
        <f t="shared" si="71"/>
        <v>2184046</v>
      </c>
      <c r="Q85" s="77">
        <f t="shared" si="71"/>
        <v>2142721</v>
      </c>
      <c r="R85" s="77">
        <f t="shared" si="71"/>
        <v>2032756</v>
      </c>
      <c r="S85" s="77">
        <f t="shared" si="71"/>
        <v>1956589</v>
      </c>
      <c r="T85" s="77">
        <f t="shared" si="71"/>
        <v>1863663</v>
      </c>
      <c r="U85" s="77">
        <f t="shared" si="71"/>
        <v>1710360</v>
      </c>
      <c r="V85" s="77">
        <f t="shared" si="71"/>
        <v>1663543</v>
      </c>
      <c r="W85" s="77">
        <f t="shared" si="71"/>
        <v>1593519</v>
      </c>
      <c r="X85" s="77">
        <f t="shared" si="71"/>
        <v>1549436</v>
      </c>
      <c r="Y85" s="77">
        <f t="shared" si="71"/>
        <v>1533118</v>
      </c>
    </row>
    <row r="86" spans="2:25" s="39" customFormat="1" ht="6.9" customHeight="1" x14ac:dyDescent="0.3">
      <c r="B86" s="78"/>
      <c r="C86" s="25"/>
      <c r="D86" s="79"/>
      <c r="E86" s="79"/>
      <c r="F86" s="79"/>
      <c r="G86" s="79"/>
      <c r="H86" s="142"/>
      <c r="I86" s="124"/>
      <c r="J86" s="106"/>
      <c r="K86" s="25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</row>
    <row r="87" spans="2:25" s="64" customFormat="1" x14ac:dyDescent="0.3">
      <c r="B87" s="87" t="s">
        <v>245</v>
      </c>
      <c r="C87" s="72"/>
      <c r="D87" s="82"/>
      <c r="E87" s="82"/>
      <c r="F87" s="82"/>
      <c r="G87" s="82"/>
      <c r="H87" s="146"/>
      <c r="I87" s="128"/>
      <c r="J87" s="110"/>
      <c r="K87" s="7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</row>
    <row r="88" spans="2:25" s="74" customFormat="1" x14ac:dyDescent="0.3">
      <c r="B88" s="88" t="s">
        <v>246</v>
      </c>
      <c r="C88" s="29"/>
      <c r="D88" s="83">
        <f>ROUND(D30 * D$42, -2)</f>
        <v>227100</v>
      </c>
      <c r="E88" s="83">
        <f t="shared" ref="E88:G88" si="72">ROUND(E30 * E$42, -2)</f>
        <v>203900</v>
      </c>
      <c r="F88" s="83">
        <f t="shared" si="72"/>
        <v>175000</v>
      </c>
      <c r="G88" s="83">
        <f t="shared" si="72"/>
        <v>192100</v>
      </c>
      <c r="H88" s="145"/>
      <c r="I88" s="127"/>
      <c r="J88" s="109"/>
      <c r="K88" s="29"/>
      <c r="L88" s="83">
        <v>169088</v>
      </c>
      <c r="M88" s="83">
        <v>150256</v>
      </c>
      <c r="N88" s="83">
        <v>169528</v>
      </c>
      <c r="O88" s="83">
        <v>154070</v>
      </c>
      <c r="P88" s="83">
        <v>132935</v>
      </c>
      <c r="Q88" s="83">
        <v>148421</v>
      </c>
      <c r="R88" s="83">
        <v>141491</v>
      </c>
      <c r="S88" s="83">
        <v>118839</v>
      </c>
      <c r="T88" s="83">
        <v>120598</v>
      </c>
      <c r="U88" s="83">
        <v>113072</v>
      </c>
      <c r="V88" s="83">
        <v>94403</v>
      </c>
      <c r="W88" s="83">
        <v>110179</v>
      </c>
      <c r="X88" s="83">
        <v>105669</v>
      </c>
      <c r="Y88" s="83">
        <v>81594</v>
      </c>
    </row>
    <row r="89" spans="2:25" x14ac:dyDescent="0.3">
      <c r="B89" s="89" t="s">
        <v>247</v>
      </c>
      <c r="D89" s="32">
        <f t="shared" ref="D89:G89" si="73">ROUND(D31 * D$42, -2)</f>
        <v>59000</v>
      </c>
      <c r="E89" s="32">
        <f t="shared" si="73"/>
        <v>56100</v>
      </c>
      <c r="F89" s="32">
        <f t="shared" si="73"/>
        <v>44000</v>
      </c>
      <c r="G89" s="32">
        <f t="shared" si="73"/>
        <v>50400</v>
      </c>
      <c r="L89" s="32">
        <v>49529</v>
      </c>
      <c r="M89" s="32">
        <v>45099</v>
      </c>
      <c r="N89" s="32">
        <v>36250</v>
      </c>
      <c r="O89" s="32">
        <v>38048</v>
      </c>
      <c r="P89" s="32">
        <v>36336</v>
      </c>
      <c r="Q89" s="32">
        <v>40448</v>
      </c>
      <c r="R89" s="32">
        <v>41510</v>
      </c>
      <c r="S89" s="32">
        <v>37454</v>
      </c>
      <c r="T89" s="32">
        <v>30583</v>
      </c>
      <c r="U89" s="32">
        <v>29655</v>
      </c>
      <c r="V89" s="32">
        <v>26680</v>
      </c>
      <c r="W89" s="32">
        <v>26439</v>
      </c>
      <c r="X89" s="32">
        <v>27415</v>
      </c>
      <c r="Y89" s="32">
        <v>23467</v>
      </c>
    </row>
    <row r="90" spans="2:25" x14ac:dyDescent="0.3">
      <c r="B90" s="89" t="s">
        <v>248</v>
      </c>
      <c r="D90" s="32">
        <f t="shared" ref="D90:G90" si="74">ROUND(D32 * D$42, -2)</f>
        <v>65100</v>
      </c>
      <c r="E90" s="32">
        <f t="shared" si="74"/>
        <v>59500</v>
      </c>
      <c r="F90" s="32">
        <f t="shared" si="74"/>
        <v>46600</v>
      </c>
      <c r="G90" s="32">
        <f t="shared" si="74"/>
        <v>53400</v>
      </c>
      <c r="L90" s="32">
        <v>51193</v>
      </c>
      <c r="M90" s="32">
        <v>20075</v>
      </c>
      <c r="N90" s="32">
        <v>19059</v>
      </c>
      <c r="O90" s="32">
        <v>19397</v>
      </c>
      <c r="P90" s="32">
        <v>20603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</row>
    <row r="91" spans="2:25" x14ac:dyDescent="0.3">
      <c r="B91" s="89" t="s">
        <v>249</v>
      </c>
      <c r="D91" s="32">
        <f>ROUND(D33 * D$42, -2)</f>
        <v>182200</v>
      </c>
      <c r="E91" s="32">
        <f>ROUND(E33 * E$42, -2)</f>
        <v>173300</v>
      </c>
      <c r="F91" s="32">
        <f>ROUND(F33 * F$42, -2)</f>
        <v>135800</v>
      </c>
      <c r="G91" s="32" t="s">
        <v>250</v>
      </c>
      <c r="L91" s="32">
        <v>158146</v>
      </c>
      <c r="M91" s="32">
        <v>117942</v>
      </c>
      <c r="N91" s="32">
        <v>131434</v>
      </c>
      <c r="O91" s="32">
        <v>120813</v>
      </c>
      <c r="P91" s="32">
        <v>109169</v>
      </c>
      <c r="Q91" s="32">
        <v>116651</v>
      </c>
      <c r="R91" s="32">
        <v>117022</v>
      </c>
      <c r="S91" s="32">
        <v>102758</v>
      </c>
      <c r="T91" s="32">
        <v>108870</v>
      </c>
      <c r="U91" s="32">
        <v>106637</v>
      </c>
      <c r="V91" s="32">
        <v>97576</v>
      </c>
      <c r="W91" s="32">
        <v>99969</v>
      </c>
      <c r="X91" s="32">
        <v>85449</v>
      </c>
      <c r="Y91" s="32">
        <v>74345</v>
      </c>
    </row>
    <row r="92" spans="2:25" x14ac:dyDescent="0.3">
      <c r="B92" s="89" t="s">
        <v>251</v>
      </c>
      <c r="D92" s="34">
        <f t="shared" ref="D92:G92" si="75">ROUND(D34 * D$42, -2)</f>
        <v>0</v>
      </c>
      <c r="E92" s="34">
        <f t="shared" si="75"/>
        <v>0</v>
      </c>
      <c r="F92" s="34">
        <f t="shared" si="75"/>
        <v>0</v>
      </c>
      <c r="G92" s="34">
        <f t="shared" si="75"/>
        <v>0</v>
      </c>
      <c r="H92" s="140"/>
      <c r="I92" s="122"/>
      <c r="J92" s="104"/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0</v>
      </c>
      <c r="T92" s="32">
        <v>50420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</row>
    <row r="93" spans="2:25" x14ac:dyDescent="0.3">
      <c r="B93" s="89" t="s">
        <v>252</v>
      </c>
      <c r="D93" s="32">
        <f t="shared" ref="D93:G93" si="76">ROUND(D35 * D$42, -2)</f>
        <v>17600</v>
      </c>
      <c r="E93" s="32">
        <f t="shared" si="76"/>
        <v>16700</v>
      </c>
      <c r="F93" s="32">
        <f t="shared" si="76"/>
        <v>13100</v>
      </c>
      <c r="G93" s="32">
        <f t="shared" si="76"/>
        <v>15000</v>
      </c>
      <c r="L93" s="32">
        <v>11560</v>
      </c>
      <c r="M93" s="32">
        <v>12914</v>
      </c>
      <c r="N93" s="32">
        <v>14328</v>
      </c>
      <c r="O93" s="32">
        <v>10866</v>
      </c>
      <c r="P93" s="32">
        <v>11728</v>
      </c>
      <c r="Q93" s="32">
        <v>16101</v>
      </c>
      <c r="R93" s="32">
        <v>11789</v>
      </c>
      <c r="S93" s="32">
        <v>12499</v>
      </c>
      <c r="T93" s="32">
        <v>5298</v>
      </c>
      <c r="U93" s="32">
        <v>5875</v>
      </c>
      <c r="V93" s="32">
        <v>6277</v>
      </c>
      <c r="W93" s="32">
        <v>551</v>
      </c>
      <c r="X93" s="32">
        <v>722</v>
      </c>
      <c r="Y93" s="32">
        <v>832</v>
      </c>
    </row>
    <row r="94" spans="2:25" x14ac:dyDescent="0.3">
      <c r="B94" s="89" t="s">
        <v>253</v>
      </c>
      <c r="D94" s="32">
        <f t="shared" ref="D94:G94" si="77">ROUND(D36 * D$42, -2)</f>
        <v>14700</v>
      </c>
      <c r="E94" s="32">
        <f t="shared" si="77"/>
        <v>13900</v>
      </c>
      <c r="F94" s="32">
        <f t="shared" si="77"/>
        <v>10900</v>
      </c>
      <c r="G94" s="32">
        <f t="shared" si="77"/>
        <v>12500</v>
      </c>
      <c r="L94" s="32">
        <v>11035</v>
      </c>
      <c r="M94" s="32">
        <v>14284</v>
      </c>
      <c r="N94" s="32">
        <v>6687</v>
      </c>
      <c r="O94" s="32">
        <v>13109</v>
      </c>
      <c r="P94" s="32">
        <v>15920</v>
      </c>
      <c r="Q94" s="32">
        <v>21897</v>
      </c>
      <c r="R94" s="32">
        <v>14794</v>
      </c>
      <c r="S94" s="32">
        <v>18199</v>
      </c>
      <c r="T94" s="32">
        <v>22203</v>
      </c>
      <c r="U94" s="32">
        <v>12263</v>
      </c>
      <c r="V94" s="32">
        <v>11968</v>
      </c>
      <c r="W94" s="32">
        <v>5862</v>
      </c>
      <c r="X94" s="32">
        <v>5169</v>
      </c>
      <c r="Y94" s="32">
        <v>4921</v>
      </c>
    </row>
    <row r="95" spans="2:25" s="64" customFormat="1" x14ac:dyDescent="0.3">
      <c r="B95" s="87" t="s">
        <v>254</v>
      </c>
      <c r="C95" s="72"/>
      <c r="D95" s="82"/>
      <c r="E95" s="82"/>
      <c r="F95" s="82"/>
      <c r="G95" s="82"/>
      <c r="H95" s="146"/>
      <c r="I95" s="128"/>
      <c r="J95" s="110"/>
      <c r="K95" s="7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</row>
    <row r="96" spans="2:25" s="74" customFormat="1" x14ac:dyDescent="0.3">
      <c r="B96" s="88" t="s">
        <v>255</v>
      </c>
      <c r="C96" s="29"/>
      <c r="D96" s="149">
        <f>ROUND($L96, -2)</f>
        <v>0</v>
      </c>
      <c r="E96" s="149">
        <f t="shared" ref="E96:G104" si="78">ROUND($L96, -2)</f>
        <v>0</v>
      </c>
      <c r="F96" s="149">
        <f t="shared" si="78"/>
        <v>0</v>
      </c>
      <c r="G96" s="149">
        <f t="shared" si="78"/>
        <v>0</v>
      </c>
      <c r="H96" s="145"/>
      <c r="I96" s="127"/>
      <c r="J96" s="109"/>
      <c r="K96" s="29"/>
      <c r="L96" s="83">
        <v>0</v>
      </c>
      <c r="M96" s="83">
        <v>6900</v>
      </c>
      <c r="N96" s="83">
        <v>189900</v>
      </c>
      <c r="O96" s="83">
        <v>174300</v>
      </c>
      <c r="P96" s="83">
        <v>218800</v>
      </c>
      <c r="Q96" s="83">
        <v>222700</v>
      </c>
      <c r="R96" s="83">
        <v>181800</v>
      </c>
      <c r="S96" s="83">
        <v>162300</v>
      </c>
      <c r="T96" s="83">
        <v>0</v>
      </c>
      <c r="U96" s="83">
        <v>138000</v>
      </c>
      <c r="V96" s="83">
        <v>110900</v>
      </c>
      <c r="W96" s="83">
        <v>85000</v>
      </c>
      <c r="X96" s="83">
        <v>70000</v>
      </c>
      <c r="Y96" s="83">
        <v>114500</v>
      </c>
    </row>
    <row r="97" spans="2:25" x14ac:dyDescent="0.3">
      <c r="B97" s="89" t="s">
        <v>256</v>
      </c>
      <c r="D97" s="32">
        <f t="shared" ref="D97:D104" si="79">ROUND($L97, -2)</f>
        <v>134200</v>
      </c>
      <c r="E97" s="32">
        <f t="shared" si="78"/>
        <v>134200</v>
      </c>
      <c r="F97" s="32">
        <f t="shared" si="78"/>
        <v>134200</v>
      </c>
      <c r="G97" s="32">
        <f t="shared" si="78"/>
        <v>134200</v>
      </c>
      <c r="L97" s="32">
        <v>134184</v>
      </c>
      <c r="M97" s="32">
        <v>145055</v>
      </c>
      <c r="N97" s="32">
        <v>108594</v>
      </c>
      <c r="O97" s="32">
        <v>104003</v>
      </c>
      <c r="P97" s="32">
        <v>104026</v>
      </c>
      <c r="Q97" s="32">
        <v>104026</v>
      </c>
      <c r="R97" s="32">
        <v>93163</v>
      </c>
      <c r="S97" s="32">
        <v>102711</v>
      </c>
      <c r="T97" s="32">
        <v>91275</v>
      </c>
      <c r="U97" s="32">
        <v>89518</v>
      </c>
      <c r="V97" s="32">
        <v>106937</v>
      </c>
      <c r="W97" s="32">
        <v>91483</v>
      </c>
      <c r="X97" s="32">
        <v>92666</v>
      </c>
      <c r="Y97" s="32">
        <v>87186</v>
      </c>
    </row>
    <row r="98" spans="2:25" x14ac:dyDescent="0.3">
      <c r="B98" s="89" t="s">
        <v>257</v>
      </c>
      <c r="D98" s="32">
        <f t="shared" si="79"/>
        <v>7000</v>
      </c>
      <c r="E98" s="32">
        <f t="shared" si="78"/>
        <v>7000</v>
      </c>
      <c r="F98" s="32">
        <f t="shared" si="78"/>
        <v>7000</v>
      </c>
      <c r="G98" s="32">
        <f t="shared" si="78"/>
        <v>7000</v>
      </c>
      <c r="L98" s="32">
        <v>7041</v>
      </c>
      <c r="M98" s="32">
        <v>7546</v>
      </c>
      <c r="N98" s="32">
        <v>5508</v>
      </c>
      <c r="O98" s="32">
        <v>5092</v>
      </c>
      <c r="P98" s="32">
        <v>5937</v>
      </c>
      <c r="Q98" s="32">
        <v>8838</v>
      </c>
      <c r="R98" s="32">
        <v>9362</v>
      </c>
      <c r="S98" s="32">
        <v>10011</v>
      </c>
      <c r="T98" s="32">
        <v>4057</v>
      </c>
      <c r="U98" s="32">
        <v>3663</v>
      </c>
      <c r="V98" s="32">
        <v>7022</v>
      </c>
      <c r="W98" s="32">
        <v>8566</v>
      </c>
      <c r="X98" s="32">
        <v>8552</v>
      </c>
      <c r="Y98" s="32">
        <v>8805</v>
      </c>
    </row>
    <row r="99" spans="2:25" x14ac:dyDescent="0.3">
      <c r="B99" s="89" t="s">
        <v>852</v>
      </c>
      <c r="D99" s="34">
        <f t="shared" si="79"/>
        <v>0</v>
      </c>
      <c r="E99" s="34">
        <f t="shared" si="78"/>
        <v>0</v>
      </c>
      <c r="F99" s="34">
        <f t="shared" si="78"/>
        <v>0</v>
      </c>
      <c r="G99" s="34">
        <f t="shared" si="78"/>
        <v>0</v>
      </c>
      <c r="H99" s="140"/>
      <c r="I99" s="122"/>
      <c r="J99" s="104"/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0</v>
      </c>
      <c r="T99" s="34">
        <v>0</v>
      </c>
      <c r="U99" s="32">
        <v>57380</v>
      </c>
      <c r="V99" s="32">
        <v>57237</v>
      </c>
      <c r="W99" s="32">
        <v>56949</v>
      </c>
      <c r="X99" s="32">
        <v>56806</v>
      </c>
      <c r="Y99" s="32">
        <v>56662</v>
      </c>
    </row>
    <row r="100" spans="2:25" x14ac:dyDescent="0.3">
      <c r="B100" s="89" t="s">
        <v>853</v>
      </c>
      <c r="D100" s="34">
        <f t="shared" si="79"/>
        <v>0</v>
      </c>
      <c r="E100" s="34">
        <f t="shared" si="78"/>
        <v>0</v>
      </c>
      <c r="F100" s="34">
        <f t="shared" si="78"/>
        <v>0</v>
      </c>
      <c r="G100" s="34">
        <f t="shared" si="78"/>
        <v>0</v>
      </c>
      <c r="H100" s="140"/>
      <c r="I100" s="122"/>
      <c r="J100" s="104"/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0</v>
      </c>
      <c r="T100" s="32">
        <v>85955</v>
      </c>
      <c r="U100" s="32">
        <v>85777</v>
      </c>
      <c r="V100" s="32">
        <v>85600</v>
      </c>
      <c r="W100" s="32">
        <v>85246</v>
      </c>
      <c r="X100" s="32">
        <v>85069</v>
      </c>
      <c r="Y100" s="32">
        <v>84891</v>
      </c>
    </row>
    <row r="101" spans="2:25" x14ac:dyDescent="0.3">
      <c r="B101" s="89" t="s">
        <v>854</v>
      </c>
      <c r="D101" s="150">
        <f t="shared" si="79"/>
        <v>0</v>
      </c>
      <c r="E101" s="150">
        <f t="shared" si="78"/>
        <v>0</v>
      </c>
      <c r="F101" s="150">
        <f t="shared" si="78"/>
        <v>0</v>
      </c>
      <c r="G101" s="150">
        <f t="shared" si="78"/>
        <v>0</v>
      </c>
      <c r="H101" s="140"/>
      <c r="I101" s="122"/>
      <c r="J101" s="104"/>
      <c r="L101" s="34">
        <v>0</v>
      </c>
      <c r="M101" s="34">
        <v>0</v>
      </c>
      <c r="N101" s="32">
        <v>298712</v>
      </c>
      <c r="O101" s="32">
        <v>298436</v>
      </c>
      <c r="P101" s="32">
        <v>298160</v>
      </c>
      <c r="Q101" s="32">
        <v>297608</v>
      </c>
      <c r="R101" s="32">
        <v>297332</v>
      </c>
      <c r="S101" s="32">
        <v>297056</v>
      </c>
      <c r="T101" s="32">
        <v>296505</v>
      </c>
      <c r="U101" s="32">
        <v>296229</v>
      </c>
      <c r="V101" s="32">
        <v>295953</v>
      </c>
      <c r="W101" s="34">
        <v>0</v>
      </c>
      <c r="X101" s="34">
        <v>0</v>
      </c>
      <c r="Y101" s="34">
        <v>0</v>
      </c>
    </row>
    <row r="102" spans="2:25" x14ac:dyDescent="0.3">
      <c r="B102" s="89" t="s">
        <v>855</v>
      </c>
      <c r="D102" s="32">
        <f t="shared" si="79"/>
        <v>247400</v>
      </c>
      <c r="E102" s="32">
        <f t="shared" si="78"/>
        <v>247400</v>
      </c>
      <c r="F102" s="32">
        <f t="shared" si="78"/>
        <v>247400</v>
      </c>
      <c r="G102" s="32">
        <f t="shared" si="78"/>
        <v>247400</v>
      </c>
      <c r="L102" s="32">
        <v>247353</v>
      </c>
      <c r="M102" s="32">
        <v>247222</v>
      </c>
      <c r="N102" s="32">
        <v>246962</v>
      </c>
      <c r="O102" s="32">
        <v>246832</v>
      </c>
      <c r="P102" s="32">
        <v>246702</v>
      </c>
      <c r="Q102" s="32">
        <v>246441</v>
      </c>
      <c r="R102" s="32">
        <v>246311</v>
      </c>
      <c r="S102" s="32">
        <v>246181</v>
      </c>
      <c r="T102" s="32">
        <v>245958</v>
      </c>
      <c r="U102" s="34">
        <v>0</v>
      </c>
      <c r="V102" s="34">
        <v>0</v>
      </c>
      <c r="W102" s="34">
        <v>0</v>
      </c>
      <c r="X102" s="34">
        <v>0</v>
      </c>
      <c r="Y102" s="34">
        <v>0</v>
      </c>
    </row>
    <row r="103" spans="2:25" x14ac:dyDescent="0.3">
      <c r="B103" s="89" t="s">
        <v>856</v>
      </c>
      <c r="D103" s="32">
        <f t="shared" si="79"/>
        <v>394200</v>
      </c>
      <c r="E103" s="32">
        <f t="shared" si="78"/>
        <v>394200</v>
      </c>
      <c r="F103" s="32">
        <f t="shared" si="78"/>
        <v>394200</v>
      </c>
      <c r="G103" s="32">
        <f t="shared" si="78"/>
        <v>394200</v>
      </c>
      <c r="L103" s="32">
        <v>394174</v>
      </c>
      <c r="M103" s="32">
        <v>393989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0</v>
      </c>
      <c r="T103" s="34">
        <v>0</v>
      </c>
      <c r="U103" s="34">
        <v>0</v>
      </c>
      <c r="V103" s="34">
        <v>0</v>
      </c>
      <c r="W103" s="34">
        <v>0</v>
      </c>
      <c r="X103" s="34">
        <v>0</v>
      </c>
      <c r="Y103" s="34">
        <v>0</v>
      </c>
    </row>
    <row r="104" spans="2:25" x14ac:dyDescent="0.3">
      <c r="B104" s="89" t="s">
        <v>258</v>
      </c>
      <c r="D104" s="34">
        <f t="shared" si="79"/>
        <v>0</v>
      </c>
      <c r="E104" s="34">
        <f t="shared" si="78"/>
        <v>0</v>
      </c>
      <c r="F104" s="34">
        <f t="shared" si="78"/>
        <v>0</v>
      </c>
      <c r="G104" s="34">
        <f t="shared" si="78"/>
        <v>0</v>
      </c>
      <c r="H104" s="140"/>
      <c r="I104" s="122"/>
      <c r="J104" s="104"/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0</v>
      </c>
      <c r="T104" s="34">
        <v>0</v>
      </c>
      <c r="U104" s="34">
        <v>0</v>
      </c>
      <c r="V104" s="34">
        <v>0</v>
      </c>
      <c r="W104" s="32">
        <v>295401</v>
      </c>
      <c r="X104" s="32">
        <v>295125</v>
      </c>
      <c r="Y104" s="32">
        <v>294904</v>
      </c>
    </row>
    <row r="105" spans="2:25" s="39" customFormat="1" x14ac:dyDescent="0.3">
      <c r="B105" s="76" t="s">
        <v>259</v>
      </c>
      <c r="C105" s="25"/>
      <c r="D105" s="77">
        <f>SUM(D96:D104, D88:D94)</f>
        <v>1348500</v>
      </c>
      <c r="E105" s="77">
        <f>SUM(E96:E104, E88:E94)</f>
        <v>1306200</v>
      </c>
      <c r="F105" s="77">
        <f t="shared" ref="F105:G105" si="80">SUM(F96:F104, F88:F94)</f>
        <v>1208200</v>
      </c>
      <c r="G105" s="77">
        <f t="shared" si="80"/>
        <v>1106200</v>
      </c>
      <c r="H105" s="141"/>
      <c r="I105" s="123"/>
      <c r="J105" s="105"/>
      <c r="K105" s="25"/>
      <c r="L105" s="77">
        <f t="shared" ref="L105:Y105" si="81">SUM(L88:L104)</f>
        <v>1233303</v>
      </c>
      <c r="M105" s="77">
        <f t="shared" si="81"/>
        <v>1161282</v>
      </c>
      <c r="N105" s="77">
        <f t="shared" si="81"/>
        <v>1226962</v>
      </c>
      <c r="O105" s="77">
        <f t="shared" si="81"/>
        <v>1184966</v>
      </c>
      <c r="P105" s="77">
        <f t="shared" si="81"/>
        <v>1200316</v>
      </c>
      <c r="Q105" s="77">
        <f t="shared" si="81"/>
        <v>1223131</v>
      </c>
      <c r="R105" s="77">
        <f t="shared" si="81"/>
        <v>1154574</v>
      </c>
      <c r="S105" s="77">
        <f t="shared" si="81"/>
        <v>1108008</v>
      </c>
      <c r="T105" s="77">
        <f t="shared" si="81"/>
        <v>1061722</v>
      </c>
      <c r="U105" s="77">
        <f t="shared" si="81"/>
        <v>938069</v>
      </c>
      <c r="V105" s="77">
        <f t="shared" si="81"/>
        <v>900553</v>
      </c>
      <c r="W105" s="77">
        <f t="shared" si="81"/>
        <v>865645</v>
      </c>
      <c r="X105" s="77">
        <f t="shared" si="81"/>
        <v>832642</v>
      </c>
      <c r="Y105" s="77">
        <f t="shared" si="81"/>
        <v>832107</v>
      </c>
    </row>
    <row r="106" spans="2:25" s="39" customFormat="1" ht="6.9" customHeight="1" x14ac:dyDescent="0.3">
      <c r="B106" s="78"/>
      <c r="C106" s="25"/>
      <c r="D106" s="79"/>
      <c r="E106" s="79"/>
      <c r="F106" s="79"/>
      <c r="G106" s="79"/>
      <c r="H106" s="142"/>
      <c r="I106" s="124"/>
      <c r="J106" s="106"/>
      <c r="K106" s="25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</row>
    <row r="107" spans="2:25" x14ac:dyDescent="0.3">
      <c r="B107" s="30" t="s">
        <v>260</v>
      </c>
      <c r="D107" s="34">
        <f t="shared" ref="D107:G107" si="82">$L107</f>
        <v>0</v>
      </c>
      <c r="E107" s="34">
        <f t="shared" si="82"/>
        <v>0</v>
      </c>
      <c r="F107" s="34">
        <f t="shared" si="82"/>
        <v>0</v>
      </c>
      <c r="G107" s="34">
        <f t="shared" si="82"/>
        <v>0</v>
      </c>
      <c r="H107" s="140"/>
      <c r="I107" s="122"/>
      <c r="J107" s="104"/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0</v>
      </c>
      <c r="T107" s="34">
        <v>0</v>
      </c>
      <c r="U107" s="32">
        <v>48163</v>
      </c>
      <c r="V107" s="32">
        <v>48163</v>
      </c>
      <c r="W107" s="32">
        <v>48163</v>
      </c>
      <c r="X107" s="32">
        <v>48163</v>
      </c>
      <c r="Y107" s="32">
        <v>48163</v>
      </c>
    </row>
    <row r="108" spans="2:25" x14ac:dyDescent="0.3">
      <c r="B108" s="30" t="s">
        <v>261</v>
      </c>
      <c r="D108" s="32">
        <f t="shared" ref="D108:G108" si="83">AVERAGE($L108:$N108)</f>
        <v>301</v>
      </c>
      <c r="E108" s="32">
        <f t="shared" si="83"/>
        <v>301</v>
      </c>
      <c r="F108" s="32">
        <f t="shared" si="83"/>
        <v>301</v>
      </c>
      <c r="G108" s="32">
        <f t="shared" si="83"/>
        <v>301</v>
      </c>
      <c r="L108" s="32">
        <v>301</v>
      </c>
      <c r="M108" s="32">
        <v>301</v>
      </c>
      <c r="N108" s="32">
        <v>301</v>
      </c>
      <c r="O108" s="32">
        <v>301</v>
      </c>
      <c r="P108" s="32">
        <v>301</v>
      </c>
      <c r="Q108" s="32">
        <v>301</v>
      </c>
      <c r="R108" s="32">
        <v>301</v>
      </c>
      <c r="S108" s="32">
        <v>301</v>
      </c>
      <c r="T108" s="32">
        <v>295</v>
      </c>
      <c r="U108" s="32">
        <v>271</v>
      </c>
      <c r="V108" s="32">
        <v>271</v>
      </c>
      <c r="W108" s="32">
        <v>271</v>
      </c>
      <c r="X108" s="32">
        <v>271</v>
      </c>
      <c r="Y108" s="32">
        <v>271</v>
      </c>
    </row>
    <row r="109" spans="2:25" x14ac:dyDescent="0.3">
      <c r="B109" s="30" t="s">
        <v>262</v>
      </c>
      <c r="D109" s="32">
        <f>ROUND(AVERAGE($L109:$N109), -3)</f>
        <v>333000</v>
      </c>
      <c r="E109" s="32">
        <f t="shared" ref="E109:G109" si="84">ROUND(AVERAGE($L109:$N109), -3)</f>
        <v>333000</v>
      </c>
      <c r="F109" s="32">
        <f t="shared" si="84"/>
        <v>333000</v>
      </c>
      <c r="G109" s="32">
        <f t="shared" si="84"/>
        <v>333000</v>
      </c>
      <c r="L109" s="32">
        <v>334261</v>
      </c>
      <c r="M109" s="32">
        <v>332490</v>
      </c>
      <c r="N109" s="32">
        <v>331128</v>
      </c>
      <c r="O109" s="32">
        <v>330052</v>
      </c>
      <c r="P109" s="32">
        <v>328580</v>
      </c>
      <c r="Q109" s="32">
        <v>328511</v>
      </c>
      <c r="R109" s="32">
        <v>327470</v>
      </c>
      <c r="S109" s="32">
        <v>325780</v>
      </c>
      <c r="T109" s="32">
        <v>304715</v>
      </c>
      <c r="U109" s="32">
        <v>245775</v>
      </c>
      <c r="V109" s="32">
        <v>246092</v>
      </c>
      <c r="W109" s="32">
        <v>243481</v>
      </c>
      <c r="X109" s="32">
        <v>242125</v>
      </c>
      <c r="Y109" s="32">
        <v>240977</v>
      </c>
    </row>
    <row r="110" spans="2:25" x14ac:dyDescent="0.3">
      <c r="B110" s="151" t="s">
        <v>263</v>
      </c>
      <c r="D110" s="152">
        <f>E110 + D53</f>
        <v>968910.90717211901</v>
      </c>
      <c r="E110" s="152">
        <f t="shared" ref="E110:F110" si="85">F110 + E53</f>
        <v>918552.24843358668</v>
      </c>
      <c r="F110" s="152">
        <f t="shared" si="85"/>
        <v>869691.02689376601</v>
      </c>
      <c r="G110" s="152">
        <f>L110 + G53</f>
        <v>837446.55184403213</v>
      </c>
      <c r="L110" s="152">
        <v>794833</v>
      </c>
      <c r="M110" s="152">
        <v>740325</v>
      </c>
      <c r="N110" s="152">
        <v>666799</v>
      </c>
      <c r="O110" s="152">
        <v>628961</v>
      </c>
      <c r="P110" s="152">
        <v>598715</v>
      </c>
      <c r="Q110" s="152">
        <v>548585</v>
      </c>
      <c r="R110" s="152">
        <v>519303</v>
      </c>
      <c r="S110" s="152">
        <v>491392</v>
      </c>
      <c r="T110" s="152">
        <v>457447</v>
      </c>
      <c r="U110" s="152">
        <v>438595</v>
      </c>
      <c r="V110" s="152">
        <v>422825</v>
      </c>
      <c r="W110" s="152">
        <v>387818</v>
      </c>
      <c r="X110" s="152">
        <v>378094</v>
      </c>
      <c r="Y110" s="152">
        <v>363397</v>
      </c>
    </row>
    <row r="111" spans="2:25" x14ac:dyDescent="0.3">
      <c r="B111" s="30" t="s">
        <v>264</v>
      </c>
      <c r="D111" s="32">
        <f t="shared" ref="D111:G111" si="86">ROUND(AVERAGE($L111:$N111), -3)</f>
        <v>38000</v>
      </c>
      <c r="E111" s="32">
        <f t="shared" si="86"/>
        <v>38000</v>
      </c>
      <c r="F111" s="32">
        <f t="shared" si="86"/>
        <v>38000</v>
      </c>
      <c r="G111" s="32">
        <f t="shared" si="86"/>
        <v>38000</v>
      </c>
      <c r="L111" s="32">
        <v>34990</v>
      </c>
      <c r="M111" s="32">
        <v>35435</v>
      </c>
      <c r="N111" s="32">
        <v>43587</v>
      </c>
      <c r="O111" s="32">
        <v>55074</v>
      </c>
      <c r="P111" s="32">
        <v>56134</v>
      </c>
      <c r="Q111" s="32">
        <v>42193</v>
      </c>
      <c r="R111" s="32">
        <v>31108</v>
      </c>
      <c r="S111" s="32">
        <v>31108</v>
      </c>
      <c r="T111" s="32">
        <v>39484</v>
      </c>
      <c r="U111" s="32">
        <v>39487</v>
      </c>
      <c r="V111" s="32">
        <v>45639</v>
      </c>
      <c r="W111" s="32">
        <v>48141</v>
      </c>
      <c r="X111" s="32">
        <v>48141</v>
      </c>
      <c r="Y111" s="32">
        <v>48203</v>
      </c>
    </row>
    <row r="112" spans="2:25" s="39" customFormat="1" x14ac:dyDescent="0.3">
      <c r="B112" s="76" t="s">
        <v>265</v>
      </c>
      <c r="C112" s="25"/>
      <c r="D112" s="77">
        <f>SUM(D107:D111)</f>
        <v>1340211.907172119</v>
      </c>
      <c r="E112" s="77">
        <f t="shared" ref="E112:G112" si="87">SUM(E107:E111)</f>
        <v>1289853.2484335867</v>
      </c>
      <c r="F112" s="77">
        <f t="shared" si="87"/>
        <v>1240992.0268937661</v>
      </c>
      <c r="G112" s="77">
        <f t="shared" si="87"/>
        <v>1208747.551844032</v>
      </c>
      <c r="H112" s="141"/>
      <c r="I112" s="123"/>
      <c r="J112" s="105"/>
      <c r="K112" s="25"/>
      <c r="L112" s="77">
        <f>SUM(L107:L111)</f>
        <v>1164385</v>
      </c>
      <c r="M112" s="77">
        <f t="shared" ref="M112:Y112" si="88">SUM(M107:M111)</f>
        <v>1108551</v>
      </c>
      <c r="N112" s="77">
        <f t="shared" si="88"/>
        <v>1041815</v>
      </c>
      <c r="O112" s="77">
        <f t="shared" si="88"/>
        <v>1014388</v>
      </c>
      <c r="P112" s="77">
        <f t="shared" si="88"/>
        <v>983730</v>
      </c>
      <c r="Q112" s="77">
        <f t="shared" si="88"/>
        <v>919590</v>
      </c>
      <c r="R112" s="77">
        <f t="shared" si="88"/>
        <v>878182</v>
      </c>
      <c r="S112" s="77">
        <f t="shared" si="88"/>
        <v>848581</v>
      </c>
      <c r="T112" s="77">
        <f t="shared" si="88"/>
        <v>801941</v>
      </c>
      <c r="U112" s="77">
        <f t="shared" si="88"/>
        <v>772291</v>
      </c>
      <c r="V112" s="77">
        <f t="shared" si="88"/>
        <v>762990</v>
      </c>
      <c r="W112" s="77">
        <f t="shared" si="88"/>
        <v>727874</v>
      </c>
      <c r="X112" s="77">
        <f t="shared" si="88"/>
        <v>716794</v>
      </c>
      <c r="Y112" s="77">
        <f t="shared" si="88"/>
        <v>701011</v>
      </c>
    </row>
    <row r="113" spans="2:25" x14ac:dyDescent="0.3">
      <c r="B113" s="30"/>
    </row>
    <row r="114" spans="2:25" s="64" customFormat="1" hidden="1" outlineLevel="1" x14ac:dyDescent="0.3">
      <c r="B114" s="56" t="s">
        <v>266</v>
      </c>
      <c r="C114" s="3"/>
      <c r="D114" s="57"/>
      <c r="E114" s="57"/>
      <c r="F114" s="57"/>
      <c r="G114" s="57"/>
      <c r="H114" s="138"/>
      <c r="I114" s="120"/>
      <c r="J114" s="102"/>
      <c r="K114" s="3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</row>
    <row r="115" spans="2:25" hidden="1" outlineLevel="1" x14ac:dyDescent="0.3">
      <c r="B115" s="30" t="s">
        <v>214</v>
      </c>
      <c r="L115" s="32">
        <v>86254</v>
      </c>
      <c r="M115" s="32">
        <v>31746</v>
      </c>
      <c r="N115" s="32">
        <v>85807</v>
      </c>
      <c r="O115" s="32">
        <v>47969</v>
      </c>
      <c r="P115" s="32">
        <v>17723</v>
      </c>
      <c r="Q115" s="32">
        <v>75256</v>
      </c>
      <c r="R115" s="32">
        <v>45974</v>
      </c>
      <c r="S115" s="32">
        <v>18063</v>
      </c>
      <c r="T115" s="32">
        <v>56199</v>
      </c>
      <c r="U115" s="32">
        <v>33872</v>
      </c>
      <c r="V115" s="32">
        <v>16883</v>
      </c>
      <c r="W115" s="32">
        <v>36047</v>
      </c>
      <c r="X115" s="32">
        <v>25105</v>
      </c>
      <c r="Y115" s="32">
        <v>9189</v>
      </c>
    </row>
    <row r="116" spans="2:25" hidden="1" outlineLevel="1" x14ac:dyDescent="0.3">
      <c r="B116" s="30" t="s">
        <v>267</v>
      </c>
      <c r="L116" s="32">
        <v>55</v>
      </c>
      <c r="M116" s="32">
        <v>52</v>
      </c>
      <c r="N116" s="32">
        <v>118</v>
      </c>
      <c r="O116" s="32">
        <v>66</v>
      </c>
      <c r="P116" s="32">
        <v>121</v>
      </c>
      <c r="Q116" s="32">
        <v>268</v>
      </c>
      <c r="R116" s="32">
        <v>224</v>
      </c>
      <c r="S116" s="32">
        <v>310</v>
      </c>
      <c r="T116" s="32">
        <v>198</v>
      </c>
      <c r="U116" s="32">
        <v>127</v>
      </c>
      <c r="V116" s="32">
        <v>17</v>
      </c>
      <c r="W116" s="32">
        <v>413</v>
      </c>
      <c r="X116" s="32">
        <v>389</v>
      </c>
      <c r="Y116" s="32">
        <v>307</v>
      </c>
    </row>
    <row r="117" spans="2:25" hidden="1" outlineLevel="1" x14ac:dyDescent="0.3">
      <c r="B117" s="30" t="s">
        <v>268</v>
      </c>
      <c r="L117" s="32">
        <v>773970</v>
      </c>
      <c r="M117" s="32">
        <v>345950</v>
      </c>
      <c r="N117" s="32">
        <v>959022</v>
      </c>
      <c r="O117" s="32">
        <v>570989</v>
      </c>
      <c r="P117" s="32">
        <v>251200</v>
      </c>
      <c r="Q117" s="32">
        <v>828400</v>
      </c>
      <c r="R117" s="32">
        <v>519802</v>
      </c>
      <c r="S117" s="32">
        <v>235481</v>
      </c>
      <c r="T117" s="32">
        <v>732587</v>
      </c>
      <c r="U117" s="32">
        <v>468832</v>
      </c>
      <c r="V117" s="32">
        <v>217346</v>
      </c>
      <c r="W117" s="32">
        <v>654905</v>
      </c>
      <c r="X117" s="32">
        <v>404599</v>
      </c>
      <c r="Y117" s="32">
        <v>177038</v>
      </c>
    </row>
    <row r="118" spans="2:25" hidden="1" outlineLevel="1" x14ac:dyDescent="0.3">
      <c r="B118" s="30" t="s">
        <v>269</v>
      </c>
      <c r="L118" s="32">
        <v>766105</v>
      </c>
      <c r="M118" s="32">
        <v>348725</v>
      </c>
      <c r="N118" s="32">
        <v>997369</v>
      </c>
      <c r="O118" s="32">
        <v>615714</v>
      </c>
      <c r="P118" s="32">
        <v>299823</v>
      </c>
      <c r="Q118" s="32">
        <v>884725</v>
      </c>
      <c r="R118" s="32">
        <v>584700</v>
      </c>
      <c r="S118" s="32">
        <v>297125</v>
      </c>
      <c r="T118" s="32">
        <v>798946</v>
      </c>
      <c r="U118" s="32">
        <v>535256</v>
      </c>
      <c r="V118" s="32">
        <v>262644</v>
      </c>
      <c r="W118" s="32">
        <v>687420</v>
      </c>
      <c r="X118" s="32">
        <v>433406</v>
      </c>
      <c r="Y118" s="32">
        <v>210960</v>
      </c>
    </row>
    <row r="119" spans="2:25" hidden="1" outlineLevel="1" x14ac:dyDescent="0.3">
      <c r="B119" s="30" t="s">
        <v>270</v>
      </c>
      <c r="L119" s="32">
        <v>427</v>
      </c>
      <c r="M119" s="32">
        <v>3739</v>
      </c>
      <c r="N119" s="32">
        <v>2982</v>
      </c>
      <c r="O119" s="32">
        <v>1017</v>
      </c>
      <c r="P119" s="32">
        <v>1363</v>
      </c>
      <c r="Q119" s="32">
        <v>66</v>
      </c>
      <c r="R119" s="32">
        <v>1318</v>
      </c>
      <c r="S119" s="32">
        <v>676</v>
      </c>
      <c r="T119" s="32">
        <v>4326</v>
      </c>
      <c r="U119" s="32">
        <v>4390</v>
      </c>
      <c r="V119" s="32">
        <v>4874</v>
      </c>
      <c r="W119" s="32">
        <v>1059</v>
      </c>
      <c r="X119" s="32">
        <v>2185</v>
      </c>
      <c r="Y119" s="32">
        <v>1359</v>
      </c>
    </row>
    <row r="120" spans="2:25" hidden="1" outlineLevel="1" x14ac:dyDescent="0.3">
      <c r="B120" s="30" t="s">
        <v>271</v>
      </c>
      <c r="L120" s="32">
        <v>422</v>
      </c>
      <c r="M120" s="32">
        <v>1000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  <c r="V120" s="32">
        <v>0</v>
      </c>
      <c r="W120" s="32">
        <v>0</v>
      </c>
      <c r="X120" s="32">
        <v>0</v>
      </c>
      <c r="Y120" s="32">
        <v>0</v>
      </c>
    </row>
    <row r="121" spans="2:25" hidden="1" outlineLevel="1" x14ac:dyDescent="0.3">
      <c r="B121" s="30" t="s">
        <v>272</v>
      </c>
      <c r="L121" s="32">
        <v>2233</v>
      </c>
      <c r="M121" s="32">
        <v>1307</v>
      </c>
      <c r="N121" s="32">
        <v>3366</v>
      </c>
      <c r="O121" s="32">
        <v>1588</v>
      </c>
      <c r="P121" s="32">
        <v>803</v>
      </c>
      <c r="Q121" s="32">
        <v>3649</v>
      </c>
      <c r="R121" s="32">
        <v>2486</v>
      </c>
      <c r="S121" s="32">
        <v>1066</v>
      </c>
      <c r="T121" s="32">
        <v>3873</v>
      </c>
      <c r="U121" s="32">
        <v>2239</v>
      </c>
      <c r="V121" s="32">
        <v>975</v>
      </c>
      <c r="W121" s="32">
        <v>4350</v>
      </c>
      <c r="X121" s="32">
        <v>2964</v>
      </c>
      <c r="Y121" s="32">
        <v>1561</v>
      </c>
    </row>
    <row r="122" spans="2:25" hidden="1" outlineLevel="1" x14ac:dyDescent="0.3">
      <c r="B122" s="30" t="s">
        <v>273</v>
      </c>
      <c r="L122" s="32">
        <v>1159</v>
      </c>
      <c r="M122" s="32">
        <v>564</v>
      </c>
      <c r="N122" s="32">
        <v>1112</v>
      </c>
      <c r="O122" s="32">
        <v>657</v>
      </c>
      <c r="P122" s="32">
        <v>300</v>
      </c>
      <c r="Q122" s="32">
        <v>580</v>
      </c>
      <c r="R122" s="32">
        <v>383</v>
      </c>
      <c r="S122" s="32">
        <v>297</v>
      </c>
      <c r="T122" s="32">
        <v>789</v>
      </c>
      <c r="U122" s="32">
        <v>546</v>
      </c>
      <c r="V122" s="32">
        <v>448</v>
      </c>
      <c r="W122" s="32">
        <v>1262</v>
      </c>
      <c r="X122" s="32">
        <v>751</v>
      </c>
      <c r="Y122" s="32">
        <v>339</v>
      </c>
    </row>
    <row r="123" spans="2:25" hidden="1" outlineLevel="1" x14ac:dyDescent="0.3">
      <c r="B123" s="30" t="s">
        <v>274</v>
      </c>
      <c r="L123" s="32">
        <v>6037</v>
      </c>
      <c r="M123" s="32">
        <v>3035</v>
      </c>
      <c r="N123" s="32">
        <v>8655</v>
      </c>
      <c r="O123" s="32">
        <v>5698</v>
      </c>
      <c r="P123" s="32">
        <v>2841</v>
      </c>
      <c r="Q123" s="32">
        <v>8064</v>
      </c>
      <c r="R123" s="32">
        <v>5278</v>
      </c>
      <c r="S123" s="32">
        <v>2570</v>
      </c>
      <c r="T123" s="32">
        <v>7078</v>
      </c>
      <c r="U123" s="32">
        <v>4608</v>
      </c>
      <c r="V123" s="32">
        <v>2281</v>
      </c>
      <c r="W123" s="32">
        <v>6328</v>
      </c>
      <c r="X123" s="32">
        <v>4149</v>
      </c>
      <c r="Y123" s="32">
        <v>2033</v>
      </c>
    </row>
    <row r="124" spans="2:25" hidden="1" outlineLevel="1" x14ac:dyDescent="0.3">
      <c r="B124" s="30" t="s">
        <v>275</v>
      </c>
      <c r="L124" s="32">
        <v>1228</v>
      </c>
      <c r="M124" s="32">
        <v>625</v>
      </c>
      <c r="N124" s="32">
        <v>2029</v>
      </c>
      <c r="O124" s="32">
        <v>1352</v>
      </c>
      <c r="P124" s="32">
        <v>676</v>
      </c>
      <c r="Q124" s="32">
        <v>2110</v>
      </c>
      <c r="R124" s="32">
        <v>1443</v>
      </c>
      <c r="S124" s="32">
        <v>782</v>
      </c>
      <c r="T124" s="32">
        <v>2632</v>
      </c>
      <c r="U124" s="32">
        <v>1712</v>
      </c>
      <c r="V124" s="32">
        <v>854</v>
      </c>
      <c r="W124" s="32">
        <v>2552</v>
      </c>
      <c r="X124" s="32">
        <v>1701</v>
      </c>
      <c r="Y124" s="32">
        <v>851</v>
      </c>
    </row>
    <row r="125" spans="2:25" hidden="1" outlineLevel="1" x14ac:dyDescent="0.3">
      <c r="B125" s="30" t="s">
        <v>276</v>
      </c>
      <c r="L125" s="32">
        <v>950</v>
      </c>
      <c r="M125" s="32">
        <v>950</v>
      </c>
      <c r="N125" s="32">
        <v>0</v>
      </c>
      <c r="O125" s="32">
        <v>0</v>
      </c>
      <c r="P125" s="32">
        <v>0</v>
      </c>
      <c r="Q125" s="32">
        <v>0</v>
      </c>
      <c r="R125" s="32">
        <v>0</v>
      </c>
      <c r="S125" s="32">
        <v>0</v>
      </c>
      <c r="T125" s="32">
        <v>0</v>
      </c>
      <c r="U125" s="32">
        <v>0</v>
      </c>
      <c r="V125" s="32">
        <v>0</v>
      </c>
      <c r="W125" s="32">
        <v>0</v>
      </c>
      <c r="X125" s="32">
        <v>0</v>
      </c>
      <c r="Y125" s="32">
        <v>0</v>
      </c>
    </row>
    <row r="126" spans="2:25" hidden="1" outlineLevel="1" x14ac:dyDescent="0.3">
      <c r="B126" s="30" t="s">
        <v>277</v>
      </c>
      <c r="L126" s="32">
        <v>2726</v>
      </c>
      <c r="M126" s="32">
        <v>973</v>
      </c>
      <c r="N126" s="32">
        <v>4086</v>
      </c>
      <c r="O126" s="32">
        <v>2594</v>
      </c>
      <c r="P126" s="32">
        <v>912</v>
      </c>
      <c r="Q126" s="32">
        <v>3771</v>
      </c>
      <c r="R126" s="32">
        <v>2730</v>
      </c>
      <c r="S126" s="32">
        <v>1039</v>
      </c>
      <c r="T126" s="32">
        <v>4034</v>
      </c>
      <c r="U126" s="32">
        <v>2566</v>
      </c>
      <c r="V126" s="32">
        <v>1028</v>
      </c>
      <c r="W126" s="32">
        <v>3483</v>
      </c>
      <c r="X126" s="32">
        <v>2126</v>
      </c>
      <c r="Y126" s="32">
        <v>916</v>
      </c>
    </row>
    <row r="127" spans="2:25" hidden="1" outlineLevel="1" x14ac:dyDescent="0.3">
      <c r="B127" s="30" t="s">
        <v>278</v>
      </c>
      <c r="L127" s="32">
        <v>253</v>
      </c>
      <c r="M127" s="32">
        <v>91</v>
      </c>
      <c r="N127" s="32">
        <v>1494</v>
      </c>
      <c r="O127" s="32">
        <v>888</v>
      </c>
      <c r="P127" s="32">
        <v>335</v>
      </c>
      <c r="Q127" s="32">
        <v>1513</v>
      </c>
      <c r="R127" s="32">
        <v>910</v>
      </c>
      <c r="S127" s="32">
        <v>335</v>
      </c>
      <c r="T127" s="32">
        <v>1306</v>
      </c>
      <c r="U127" s="32">
        <v>797</v>
      </c>
      <c r="V127" s="32">
        <v>426</v>
      </c>
      <c r="W127" s="32">
        <v>20911</v>
      </c>
      <c r="X127" s="32">
        <v>13832</v>
      </c>
      <c r="Y127" s="32">
        <v>4995</v>
      </c>
    </row>
    <row r="128" spans="2:25" hidden="1" outlineLevel="1" x14ac:dyDescent="0.3">
      <c r="B128" s="30" t="s">
        <v>279</v>
      </c>
      <c r="L128" s="32">
        <v>0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</v>
      </c>
      <c r="S128" s="32">
        <v>0</v>
      </c>
      <c r="T128" s="32">
        <v>0</v>
      </c>
      <c r="U128" s="32">
        <v>0</v>
      </c>
      <c r="V128" s="32">
        <v>0</v>
      </c>
      <c r="W128" s="32">
        <v>18</v>
      </c>
      <c r="X128" s="32">
        <v>467</v>
      </c>
      <c r="Y128" s="32">
        <v>359</v>
      </c>
    </row>
    <row r="129" spans="2:25" hidden="1" outlineLevel="1" x14ac:dyDescent="0.3">
      <c r="B129" s="30" t="s">
        <v>236</v>
      </c>
      <c r="L129" s="32">
        <v>51603</v>
      </c>
      <c r="M129" s="32">
        <v>45078</v>
      </c>
      <c r="N129" s="32">
        <v>156073</v>
      </c>
      <c r="O129" s="32">
        <v>89853</v>
      </c>
      <c r="P129" s="32">
        <v>60737</v>
      </c>
      <c r="Q129" s="32">
        <v>221279</v>
      </c>
      <c r="R129" s="32">
        <v>137689</v>
      </c>
      <c r="S129" s="32">
        <v>70119</v>
      </c>
      <c r="T129" s="32">
        <v>212660</v>
      </c>
      <c r="U129" s="32">
        <v>146171</v>
      </c>
      <c r="V129" s="32">
        <v>54758</v>
      </c>
      <c r="W129" s="32">
        <v>96510</v>
      </c>
      <c r="X129" s="32">
        <v>46856</v>
      </c>
      <c r="Y129" s="32">
        <v>29510</v>
      </c>
    </row>
    <row r="130" spans="2:25" hidden="1" outlineLevel="1" x14ac:dyDescent="0.3">
      <c r="B130" s="30" t="s">
        <v>243</v>
      </c>
      <c r="L130" s="32">
        <v>20753</v>
      </c>
      <c r="M130" s="32">
        <v>20532</v>
      </c>
      <c r="N130" s="32">
        <v>3952</v>
      </c>
      <c r="O130" s="32">
        <v>240</v>
      </c>
      <c r="P130" s="32">
        <v>2225</v>
      </c>
      <c r="Q130" s="32">
        <v>6447</v>
      </c>
      <c r="R130" s="32">
        <v>4166</v>
      </c>
      <c r="S130" s="32">
        <v>7229</v>
      </c>
      <c r="T130" s="32">
        <v>4763</v>
      </c>
      <c r="U130" s="32">
        <v>1897</v>
      </c>
      <c r="V130" s="32">
        <v>348</v>
      </c>
      <c r="W130" s="32">
        <v>16364</v>
      </c>
      <c r="X130" s="32">
        <v>7185</v>
      </c>
      <c r="Y130" s="32">
        <v>3013</v>
      </c>
    </row>
    <row r="131" spans="2:25" hidden="1" outlineLevel="1" x14ac:dyDescent="0.3">
      <c r="B131" s="30" t="s">
        <v>246</v>
      </c>
      <c r="L131" s="32">
        <v>44062</v>
      </c>
      <c r="M131" s="32">
        <v>25230</v>
      </c>
      <c r="N131" s="32">
        <v>38017</v>
      </c>
      <c r="O131" s="32">
        <v>22560</v>
      </c>
      <c r="P131" s="32">
        <v>1424</v>
      </c>
      <c r="Q131" s="32">
        <v>20660</v>
      </c>
      <c r="R131" s="32">
        <v>13730</v>
      </c>
      <c r="S131" s="32">
        <v>8914</v>
      </c>
      <c r="T131" s="32">
        <v>17386</v>
      </c>
      <c r="U131" s="32">
        <v>9860</v>
      </c>
      <c r="V131" s="32">
        <v>8809</v>
      </c>
      <c r="W131" s="32">
        <v>23301</v>
      </c>
      <c r="X131" s="32">
        <v>18791</v>
      </c>
      <c r="Y131" s="32">
        <v>5284</v>
      </c>
    </row>
    <row r="132" spans="2:25" hidden="1" outlineLevel="1" x14ac:dyDescent="0.3">
      <c r="B132" s="30" t="s">
        <v>247</v>
      </c>
      <c r="L132" s="32">
        <v>15067</v>
      </c>
      <c r="M132" s="32">
        <v>10637</v>
      </c>
      <c r="N132" s="32">
        <v>4195</v>
      </c>
      <c r="O132" s="32">
        <v>5993</v>
      </c>
      <c r="P132" s="32">
        <v>4281</v>
      </c>
      <c r="Q132" s="32">
        <v>9914</v>
      </c>
      <c r="R132" s="32">
        <v>10976</v>
      </c>
      <c r="S132" s="32">
        <v>6790</v>
      </c>
      <c r="T132" s="32">
        <v>8427</v>
      </c>
      <c r="U132" s="32">
        <v>7499</v>
      </c>
      <c r="V132" s="32">
        <v>4524</v>
      </c>
      <c r="W132" s="32">
        <v>6872</v>
      </c>
      <c r="X132" s="32">
        <v>7848</v>
      </c>
      <c r="Y132" s="32">
        <v>3900</v>
      </c>
    </row>
    <row r="133" spans="2:25" hidden="1" outlineLevel="1" x14ac:dyDescent="0.3">
      <c r="B133" s="30" t="s">
        <v>280</v>
      </c>
      <c r="L133" s="32">
        <v>16699</v>
      </c>
      <c r="M133" s="32">
        <v>26952</v>
      </c>
      <c r="N133" s="32">
        <v>11629</v>
      </c>
      <c r="O133" s="32">
        <v>18486</v>
      </c>
      <c r="P133" s="32">
        <v>24835</v>
      </c>
      <c r="Q133" s="32">
        <v>10199</v>
      </c>
      <c r="R133" s="32">
        <v>15467</v>
      </c>
      <c r="S133" s="32">
        <v>22454</v>
      </c>
      <c r="T133" s="32">
        <v>9341</v>
      </c>
      <c r="U133" s="32">
        <v>13415</v>
      </c>
      <c r="V133" s="32">
        <v>20159</v>
      </c>
      <c r="W133" s="32">
        <v>6073</v>
      </c>
      <c r="X133" s="32">
        <v>10566</v>
      </c>
      <c r="Y133" s="32">
        <v>14457</v>
      </c>
    </row>
    <row r="134" spans="2:25" hidden="1" outlineLevel="1" x14ac:dyDescent="0.3">
      <c r="B134" s="30" t="s">
        <v>249</v>
      </c>
      <c r="L134" s="32">
        <v>24303</v>
      </c>
      <c r="M134" s="32">
        <v>4193</v>
      </c>
      <c r="N134" s="32">
        <v>10609</v>
      </c>
      <c r="O134" s="32">
        <v>13083</v>
      </c>
      <c r="P134" s="32">
        <v>17082</v>
      </c>
      <c r="Q134" s="32">
        <v>10312</v>
      </c>
      <c r="R134" s="32">
        <v>4673</v>
      </c>
      <c r="S134" s="32">
        <v>11942</v>
      </c>
      <c r="T134" s="32">
        <v>4600</v>
      </c>
      <c r="U134" s="32">
        <v>2759</v>
      </c>
      <c r="V134" s="32">
        <v>5077</v>
      </c>
      <c r="W134" s="32">
        <v>18000</v>
      </c>
      <c r="X134" s="32">
        <v>7974</v>
      </c>
      <c r="Y134" s="32">
        <v>761</v>
      </c>
    </row>
    <row r="135" spans="2:25" hidden="1" outlineLevel="1" x14ac:dyDescent="0.3">
      <c r="B135" s="30" t="s">
        <v>281</v>
      </c>
      <c r="L135" s="32">
        <v>82826</v>
      </c>
      <c r="M135" s="32">
        <v>24227</v>
      </c>
      <c r="N135" s="32">
        <v>977</v>
      </c>
      <c r="O135" s="32">
        <v>10617</v>
      </c>
      <c r="P135" s="32">
        <v>22633</v>
      </c>
      <c r="Q135" s="32">
        <v>73895</v>
      </c>
      <c r="R135" s="32">
        <v>19701</v>
      </c>
      <c r="S135" s="32">
        <v>31190</v>
      </c>
      <c r="T135" s="32">
        <v>66025</v>
      </c>
      <c r="U135" s="32">
        <v>39320</v>
      </c>
      <c r="V135" s="32">
        <v>23275</v>
      </c>
      <c r="W135" s="32">
        <v>26520</v>
      </c>
      <c r="X135" s="32">
        <v>40472</v>
      </c>
      <c r="Y135" s="32">
        <v>1056</v>
      </c>
    </row>
    <row r="136" spans="2:25" hidden="1" outlineLevel="1" x14ac:dyDescent="0.3">
      <c r="B136" s="30" t="s">
        <v>282</v>
      </c>
      <c r="L136" s="32">
        <v>1976</v>
      </c>
      <c r="M136" s="32">
        <v>451</v>
      </c>
      <c r="N136" s="32">
        <v>2626</v>
      </c>
      <c r="O136" s="32">
        <v>1599</v>
      </c>
      <c r="P136" s="32">
        <v>460</v>
      </c>
      <c r="Q136" s="32">
        <v>5866</v>
      </c>
      <c r="R136" s="32">
        <v>4615</v>
      </c>
      <c r="S136" s="32">
        <v>130</v>
      </c>
      <c r="T136" s="32">
        <v>6017</v>
      </c>
      <c r="U136" s="32">
        <v>1872</v>
      </c>
      <c r="V136" s="32">
        <v>993</v>
      </c>
      <c r="W136" s="32">
        <v>11619</v>
      </c>
      <c r="X136" s="32">
        <v>11029</v>
      </c>
      <c r="Y136" s="32">
        <v>10706</v>
      </c>
    </row>
    <row r="137" spans="2:25" hidden="1" outlineLevel="1" x14ac:dyDescent="0.3">
      <c r="B137" s="30" t="s">
        <v>283</v>
      </c>
      <c r="L137" s="32">
        <v>363</v>
      </c>
      <c r="M137" s="32">
        <v>363</v>
      </c>
      <c r="N137" s="32">
        <v>438</v>
      </c>
      <c r="O137" s="32">
        <v>150</v>
      </c>
      <c r="P137" s="32">
        <v>0</v>
      </c>
      <c r="Q137" s="32">
        <v>676</v>
      </c>
      <c r="R137" s="32">
        <v>676</v>
      </c>
      <c r="S137" s="32">
        <v>0</v>
      </c>
      <c r="T137" s="32">
        <v>1833</v>
      </c>
      <c r="U137" s="32">
        <v>0</v>
      </c>
      <c r="V137" s="32">
        <v>0</v>
      </c>
      <c r="W137" s="32">
        <v>0</v>
      </c>
      <c r="X137" s="32">
        <v>0</v>
      </c>
      <c r="Y137" s="32">
        <v>0</v>
      </c>
    </row>
    <row r="138" spans="2:25" hidden="1" outlineLevel="1" x14ac:dyDescent="0.3">
      <c r="B138" s="30" t="s">
        <v>284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1078</v>
      </c>
      <c r="V138" s="32">
        <v>0</v>
      </c>
      <c r="W138" s="32">
        <v>1880</v>
      </c>
      <c r="X138" s="32">
        <v>1035</v>
      </c>
      <c r="Y138" s="32">
        <v>689</v>
      </c>
    </row>
    <row r="139" spans="2:25" hidden="1" outlineLevel="1" x14ac:dyDescent="0.3">
      <c r="B139" s="30" t="s">
        <v>285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100960</v>
      </c>
      <c r="R139" s="32">
        <v>100960</v>
      </c>
      <c r="S139" s="32">
        <v>100763</v>
      </c>
      <c r="T139" s="32">
        <v>0</v>
      </c>
      <c r="U139" s="32">
        <v>0</v>
      </c>
      <c r="V139" s="32">
        <v>0</v>
      </c>
      <c r="W139" s="32">
        <v>0</v>
      </c>
      <c r="X139" s="32">
        <v>0</v>
      </c>
      <c r="Y139" s="32">
        <v>0</v>
      </c>
    </row>
    <row r="140" spans="2:25" hidden="1" outlineLevel="1" x14ac:dyDescent="0.3">
      <c r="B140" s="30" t="s">
        <v>239</v>
      </c>
      <c r="L140" s="32">
        <v>19089</v>
      </c>
      <c r="M140" s="32">
        <v>6458</v>
      </c>
      <c r="N140" s="32">
        <v>23522</v>
      </c>
      <c r="O140" s="32">
        <v>15281</v>
      </c>
      <c r="P140" s="32">
        <v>6041</v>
      </c>
      <c r="Q140" s="32">
        <v>20487</v>
      </c>
      <c r="R140" s="32">
        <v>4321</v>
      </c>
      <c r="S140" s="32">
        <v>1890</v>
      </c>
      <c r="T140" s="32">
        <v>8439</v>
      </c>
      <c r="U140" s="32">
        <v>5807</v>
      </c>
      <c r="V140" s="32">
        <v>3197</v>
      </c>
      <c r="W140" s="32">
        <v>10060</v>
      </c>
      <c r="X140" s="32">
        <v>5782</v>
      </c>
      <c r="Y140" s="32">
        <v>2846</v>
      </c>
    </row>
    <row r="141" spans="2:25" hidden="1" outlineLevel="1" x14ac:dyDescent="0.3">
      <c r="B141" s="30" t="s">
        <v>286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5111</v>
      </c>
      <c r="R141" s="32">
        <v>5111</v>
      </c>
      <c r="S141" s="32">
        <v>5111</v>
      </c>
      <c r="T141" s="32">
        <v>7558</v>
      </c>
      <c r="U141" s="32">
        <v>7558</v>
      </c>
      <c r="V141" s="32">
        <v>7396</v>
      </c>
      <c r="W141" s="32">
        <v>0</v>
      </c>
      <c r="X141" s="32">
        <v>0</v>
      </c>
      <c r="Y141" s="32">
        <v>0</v>
      </c>
    </row>
    <row r="142" spans="2:25" hidden="1" outlineLevel="1" x14ac:dyDescent="0.3">
      <c r="B142" s="30" t="s">
        <v>287</v>
      </c>
      <c r="L142" s="32">
        <v>20702</v>
      </c>
      <c r="M142" s="32">
        <v>6546</v>
      </c>
      <c r="N142" s="32">
        <v>25710</v>
      </c>
      <c r="O142" s="32">
        <v>16730</v>
      </c>
      <c r="P142" s="32">
        <v>6501</v>
      </c>
      <c r="Q142" s="32">
        <v>121526</v>
      </c>
      <c r="R142" s="32">
        <v>104109</v>
      </c>
      <c r="S142" s="32">
        <v>97672</v>
      </c>
      <c r="T142" s="32">
        <v>5065</v>
      </c>
      <c r="U142" s="32">
        <v>957</v>
      </c>
      <c r="V142" s="32">
        <v>3206</v>
      </c>
      <c r="W142" s="32">
        <v>19799</v>
      </c>
      <c r="X142" s="32">
        <v>15776</v>
      </c>
      <c r="Y142" s="32">
        <v>12863</v>
      </c>
    </row>
    <row r="143" spans="2:25" hidden="1" outlineLevel="1" x14ac:dyDescent="0.3">
      <c r="B143" s="30" t="s">
        <v>857</v>
      </c>
      <c r="L143" s="32">
        <v>300000</v>
      </c>
      <c r="M143" s="32">
        <v>300000</v>
      </c>
      <c r="N143" s="32">
        <v>0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  <c r="V143" s="32">
        <v>0</v>
      </c>
      <c r="W143" s="32">
        <v>0</v>
      </c>
      <c r="X143" s="32">
        <v>0</v>
      </c>
      <c r="Y143" s="32">
        <v>0</v>
      </c>
    </row>
    <row r="144" spans="2:25" hidden="1" outlineLevel="1" x14ac:dyDescent="0.3">
      <c r="B144" s="30" t="s">
        <v>858</v>
      </c>
      <c r="L144" s="32">
        <v>0</v>
      </c>
      <c r="M144" s="32">
        <v>0</v>
      </c>
      <c r="N144" s="32">
        <v>0</v>
      </c>
      <c r="O144" s="32">
        <v>0</v>
      </c>
      <c r="P144" s="32">
        <v>0</v>
      </c>
      <c r="Q144" s="32">
        <v>65941</v>
      </c>
      <c r="R144" s="32">
        <v>65941</v>
      </c>
      <c r="S144" s="32">
        <v>65941</v>
      </c>
      <c r="T144" s="32">
        <v>0</v>
      </c>
      <c r="U144" s="32">
        <v>0</v>
      </c>
      <c r="V144" s="32">
        <v>0</v>
      </c>
      <c r="W144" s="32">
        <v>0</v>
      </c>
      <c r="X144" s="32">
        <v>0</v>
      </c>
      <c r="Y144" s="32">
        <v>0</v>
      </c>
    </row>
    <row r="145" spans="2:25" hidden="1" outlineLevel="1" x14ac:dyDescent="0.3">
      <c r="B145" s="30" t="s">
        <v>288</v>
      </c>
      <c r="L145" s="32">
        <v>400000</v>
      </c>
      <c r="M145" s="32">
        <v>400000</v>
      </c>
      <c r="N145" s="32">
        <v>0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250000</v>
      </c>
      <c r="U145" s="32">
        <v>0</v>
      </c>
      <c r="V145" s="32">
        <v>0</v>
      </c>
      <c r="W145" s="32">
        <v>0</v>
      </c>
      <c r="X145" s="32">
        <v>0</v>
      </c>
      <c r="Y145" s="32">
        <v>0</v>
      </c>
    </row>
    <row r="146" spans="2:25" hidden="1" outlineLevel="1" x14ac:dyDescent="0.3">
      <c r="B146" s="30" t="s">
        <v>289</v>
      </c>
      <c r="L146" s="32">
        <v>306800</v>
      </c>
      <c r="M146" s="32">
        <v>194300</v>
      </c>
      <c r="N146" s="32">
        <v>568900</v>
      </c>
      <c r="O146" s="32">
        <v>374500</v>
      </c>
      <c r="P146" s="32">
        <v>218100</v>
      </c>
      <c r="Q146" s="32">
        <v>519900</v>
      </c>
      <c r="R146" s="32">
        <v>353900</v>
      </c>
      <c r="S146" s="32">
        <v>233500</v>
      </c>
      <c r="T146" s="32">
        <v>366500</v>
      </c>
      <c r="U146" s="32">
        <v>289400</v>
      </c>
      <c r="V146" s="32">
        <v>162000</v>
      </c>
      <c r="W146" s="32">
        <v>276800</v>
      </c>
      <c r="X146" s="32">
        <v>192200</v>
      </c>
      <c r="Y146" s="32">
        <v>154100</v>
      </c>
    </row>
    <row r="147" spans="2:25" hidden="1" outlineLevel="1" x14ac:dyDescent="0.3">
      <c r="B147" s="30" t="s">
        <v>290</v>
      </c>
      <c r="L147" s="32">
        <v>372800</v>
      </c>
      <c r="M147" s="32">
        <v>253400</v>
      </c>
      <c r="N147" s="32">
        <v>496400</v>
      </c>
      <c r="O147" s="32">
        <v>317600</v>
      </c>
      <c r="P147" s="32">
        <v>116700</v>
      </c>
      <c r="Q147" s="32">
        <v>297200</v>
      </c>
      <c r="R147" s="32">
        <v>172100</v>
      </c>
      <c r="S147" s="32">
        <v>71200</v>
      </c>
      <c r="T147" s="32">
        <v>406800</v>
      </c>
      <c r="U147" s="32">
        <v>191700</v>
      </c>
      <c r="V147" s="32">
        <v>91400</v>
      </c>
      <c r="W147" s="32">
        <v>235600</v>
      </c>
      <c r="X147" s="32">
        <v>166000</v>
      </c>
      <c r="Y147" s="32">
        <v>83400</v>
      </c>
    </row>
    <row r="148" spans="2:25" hidden="1" outlineLevel="1" x14ac:dyDescent="0.3">
      <c r="B148" s="30" t="s">
        <v>291</v>
      </c>
      <c r="L148" s="32">
        <v>0</v>
      </c>
      <c r="M148" s="32">
        <v>8151</v>
      </c>
      <c r="N148" s="32">
        <v>0</v>
      </c>
      <c r="O148" s="32">
        <v>0</v>
      </c>
      <c r="P148" s="32">
        <v>0</v>
      </c>
      <c r="Q148" s="32">
        <v>64169</v>
      </c>
      <c r="R148" s="32">
        <v>0</v>
      </c>
      <c r="S148" s="32">
        <v>0</v>
      </c>
      <c r="T148" s="32">
        <v>61620</v>
      </c>
      <c r="U148" s="32">
        <v>0</v>
      </c>
      <c r="V148" s="32">
        <v>0</v>
      </c>
      <c r="W148" s="32">
        <v>32165</v>
      </c>
      <c r="X148" s="32">
        <v>0</v>
      </c>
      <c r="Y148" s="32">
        <v>0</v>
      </c>
    </row>
    <row r="149" spans="2:25" hidden="1" outlineLevel="1" x14ac:dyDescent="0.3">
      <c r="B149" s="30" t="s">
        <v>292</v>
      </c>
      <c r="L149" s="32">
        <v>2720</v>
      </c>
      <c r="M149" s="32">
        <v>0</v>
      </c>
      <c r="N149" s="32">
        <v>44574</v>
      </c>
      <c r="O149" s="32">
        <v>49165</v>
      </c>
      <c r="P149" s="32">
        <v>49142</v>
      </c>
      <c r="Q149" s="32">
        <v>0</v>
      </c>
      <c r="R149" s="32">
        <v>75032</v>
      </c>
      <c r="S149" s="32">
        <v>65484</v>
      </c>
      <c r="T149" s="32">
        <v>0</v>
      </c>
      <c r="U149" s="32">
        <v>63377</v>
      </c>
      <c r="V149" s="32">
        <v>45958</v>
      </c>
      <c r="W149" s="32">
        <v>0</v>
      </c>
      <c r="X149" s="32">
        <v>30982</v>
      </c>
      <c r="Y149" s="32">
        <v>36462</v>
      </c>
    </row>
    <row r="150" spans="2:25" hidden="1" outlineLevel="1" x14ac:dyDescent="0.3">
      <c r="B150" s="30" t="s">
        <v>293</v>
      </c>
      <c r="L150" s="32">
        <v>1213</v>
      </c>
      <c r="M150" s="32">
        <v>1718</v>
      </c>
      <c r="N150" s="32">
        <v>429</v>
      </c>
      <c r="O150" s="32">
        <v>845</v>
      </c>
      <c r="P150" s="32">
        <v>0</v>
      </c>
      <c r="Q150" s="32">
        <v>1738</v>
      </c>
      <c r="R150" s="32">
        <v>1214</v>
      </c>
      <c r="S150" s="32">
        <v>565</v>
      </c>
      <c r="T150" s="32">
        <v>2358</v>
      </c>
      <c r="U150" s="32">
        <v>2752</v>
      </c>
      <c r="V150" s="32">
        <v>607</v>
      </c>
      <c r="W150" s="32">
        <v>125</v>
      </c>
      <c r="X150" s="32">
        <v>111</v>
      </c>
      <c r="Y150" s="32">
        <v>364</v>
      </c>
    </row>
    <row r="151" spans="2:25" hidden="1" outlineLevel="1" x14ac:dyDescent="0.3">
      <c r="B151" s="30" t="s">
        <v>294</v>
      </c>
      <c r="L151" s="32">
        <v>0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3656</v>
      </c>
      <c r="U151" s="32">
        <v>2438</v>
      </c>
      <c r="V151" s="32">
        <v>1219</v>
      </c>
      <c r="W151" s="32">
        <v>3656</v>
      </c>
      <c r="X151" s="32">
        <v>2438</v>
      </c>
      <c r="Y151" s="32">
        <v>1219</v>
      </c>
    </row>
    <row r="152" spans="2:25" hidden="1" outlineLevel="1" x14ac:dyDescent="0.3">
      <c r="B152" s="30" t="s">
        <v>295</v>
      </c>
      <c r="L152" s="32">
        <v>1912</v>
      </c>
      <c r="M152" s="32">
        <v>1912</v>
      </c>
      <c r="N152" s="32">
        <v>5150</v>
      </c>
      <c r="O152" s="32">
        <v>5150</v>
      </c>
      <c r="P152" s="32">
        <v>5150</v>
      </c>
      <c r="Q152" s="32">
        <v>11085</v>
      </c>
      <c r="R152" s="32">
        <v>0</v>
      </c>
      <c r="S152" s="32">
        <v>0</v>
      </c>
      <c r="T152" s="32">
        <v>0</v>
      </c>
      <c r="U152" s="32">
        <v>0</v>
      </c>
      <c r="V152" s="32">
        <v>0</v>
      </c>
      <c r="W152" s="32">
        <v>0</v>
      </c>
      <c r="X152" s="32">
        <v>0</v>
      </c>
      <c r="Y152" s="32">
        <v>0</v>
      </c>
    </row>
    <row r="153" spans="2:25" hidden="1" outlineLevel="1" x14ac:dyDescent="0.3">
      <c r="B153" s="30" t="s">
        <v>296</v>
      </c>
      <c r="L153" s="32">
        <v>8410</v>
      </c>
      <c r="M153" s="32">
        <v>6165</v>
      </c>
      <c r="N153" s="32">
        <v>40</v>
      </c>
      <c r="O153" s="32">
        <v>40</v>
      </c>
      <c r="P153" s="32">
        <v>0</v>
      </c>
      <c r="Q153" s="32">
        <v>115</v>
      </c>
      <c r="R153" s="32">
        <v>115</v>
      </c>
      <c r="S153" s="32">
        <v>0</v>
      </c>
      <c r="T153" s="32">
        <v>6572</v>
      </c>
      <c r="U153" s="32">
        <v>63</v>
      </c>
      <c r="V153" s="32">
        <v>0</v>
      </c>
      <c r="W153" s="32">
        <v>193</v>
      </c>
      <c r="X153" s="32">
        <v>193</v>
      </c>
      <c r="Y153" s="32">
        <v>99</v>
      </c>
    </row>
    <row r="154" spans="2:25" hidden="1" outlineLevel="1" x14ac:dyDescent="0.3">
      <c r="B154" s="30" t="s">
        <v>297</v>
      </c>
      <c r="L154" s="32">
        <v>3645</v>
      </c>
      <c r="M154" s="32">
        <v>3182</v>
      </c>
      <c r="N154" s="32">
        <v>14348</v>
      </c>
      <c r="O154" s="32">
        <v>3277</v>
      </c>
      <c r="P154" s="32">
        <v>2428</v>
      </c>
      <c r="Q154" s="32">
        <v>426</v>
      </c>
      <c r="R154" s="32">
        <v>426</v>
      </c>
      <c r="S154" s="32">
        <v>426</v>
      </c>
      <c r="T154" s="32">
        <v>4791</v>
      </c>
      <c r="U154" s="32">
        <v>4792</v>
      </c>
      <c r="V154" s="32">
        <v>496</v>
      </c>
      <c r="W154" s="32">
        <v>73</v>
      </c>
      <c r="X154" s="32">
        <v>73</v>
      </c>
      <c r="Y154" s="32">
        <v>73</v>
      </c>
    </row>
    <row r="155" spans="2:25" hidden="1" outlineLevel="1" x14ac:dyDescent="0.3">
      <c r="B155" s="30" t="s">
        <v>298</v>
      </c>
      <c r="L155" s="32">
        <v>25816</v>
      </c>
      <c r="M155" s="32">
        <v>45874</v>
      </c>
      <c r="N155" s="32">
        <v>36655</v>
      </c>
      <c r="O155" s="32">
        <v>4977</v>
      </c>
      <c r="P155" s="32">
        <v>49536</v>
      </c>
      <c r="Q155" s="32">
        <v>80078</v>
      </c>
      <c r="R155" s="32">
        <v>39924</v>
      </c>
      <c r="S155" s="32">
        <v>30736</v>
      </c>
      <c r="T155" s="32">
        <v>140285</v>
      </c>
      <c r="U155" s="32">
        <v>33862</v>
      </c>
      <c r="V155" s="32">
        <v>24526</v>
      </c>
      <c r="W155" s="32">
        <v>5384</v>
      </c>
      <c r="X155" s="32">
        <v>7229</v>
      </c>
      <c r="Y155" s="32">
        <v>33357</v>
      </c>
    </row>
    <row r="156" spans="2:25" hidden="1" outlineLevel="1" x14ac:dyDescent="0.3">
      <c r="B156" s="30" t="s">
        <v>299</v>
      </c>
      <c r="L156" s="32">
        <v>87940</v>
      </c>
      <c r="M156" s="32">
        <v>15101</v>
      </c>
      <c r="N156" s="32">
        <v>11922</v>
      </c>
      <c r="O156" s="32">
        <v>1136</v>
      </c>
      <c r="P156" s="32">
        <v>20402</v>
      </c>
      <c r="Q156" s="32">
        <v>115343</v>
      </c>
      <c r="R156" s="32">
        <v>83886</v>
      </c>
      <c r="S156" s="32">
        <v>98126</v>
      </c>
      <c r="T156" s="32">
        <v>69195</v>
      </c>
      <c r="U156" s="32">
        <v>4501</v>
      </c>
      <c r="V156" s="32">
        <v>4457</v>
      </c>
      <c r="W156" s="32">
        <v>12105</v>
      </c>
      <c r="X156" s="32">
        <v>17467</v>
      </c>
      <c r="Y156" s="32">
        <v>21550</v>
      </c>
    </row>
    <row r="157" spans="2:25" hidden="1" outlineLevel="1" x14ac:dyDescent="0.3">
      <c r="B157" s="30" t="s">
        <v>300</v>
      </c>
      <c r="L157" s="32">
        <v>6083</v>
      </c>
      <c r="M157" s="32">
        <v>6083</v>
      </c>
      <c r="N157" s="32">
        <v>21529</v>
      </c>
      <c r="O157" s="32">
        <v>21529</v>
      </c>
      <c r="P157" s="32">
        <v>21529</v>
      </c>
      <c r="Q157" s="32">
        <v>151703</v>
      </c>
      <c r="R157" s="32">
        <v>151703</v>
      </c>
      <c r="S157" s="32">
        <v>151703</v>
      </c>
      <c r="T157" s="32">
        <v>34441</v>
      </c>
      <c r="U157" s="32">
        <v>34441</v>
      </c>
      <c r="V157" s="32">
        <v>34441</v>
      </c>
      <c r="W157" s="32">
        <v>10205</v>
      </c>
      <c r="X157" s="32">
        <v>10205</v>
      </c>
      <c r="Y157" s="32">
        <v>10205</v>
      </c>
    </row>
    <row r="158" spans="2:25" hidden="1" outlineLevel="1" x14ac:dyDescent="0.3">
      <c r="B158" s="30" t="s">
        <v>301</v>
      </c>
      <c r="L158" s="32">
        <v>94023</v>
      </c>
      <c r="M158" s="32">
        <v>21184</v>
      </c>
      <c r="N158" s="32">
        <v>33451</v>
      </c>
      <c r="O158" s="32">
        <v>20393</v>
      </c>
      <c r="P158" s="32">
        <v>41931</v>
      </c>
      <c r="Q158" s="32">
        <v>36360</v>
      </c>
      <c r="R158" s="32">
        <v>67817</v>
      </c>
      <c r="S158" s="32">
        <v>53577</v>
      </c>
      <c r="T158" s="32">
        <v>103636</v>
      </c>
      <c r="U158" s="32">
        <v>29940</v>
      </c>
      <c r="V158" s="32">
        <v>38898</v>
      </c>
      <c r="W158" s="32">
        <v>22310</v>
      </c>
      <c r="X158" s="32">
        <v>27672</v>
      </c>
      <c r="Y158" s="32">
        <v>31755</v>
      </c>
    </row>
    <row r="159" spans="2:25" hidden="1" outlineLevel="1" x14ac:dyDescent="0.3">
      <c r="B159" s="30" t="s">
        <v>302</v>
      </c>
      <c r="L159" s="32">
        <v>6114</v>
      </c>
      <c r="M159" s="32">
        <v>12501</v>
      </c>
      <c r="N159" s="32">
        <v>23034</v>
      </c>
      <c r="O159" s="32">
        <v>10585</v>
      </c>
      <c r="P159" s="32">
        <v>14460</v>
      </c>
      <c r="Q159" s="32">
        <v>21833</v>
      </c>
      <c r="R159" s="32">
        <v>9643</v>
      </c>
      <c r="S159" s="32">
        <v>13905</v>
      </c>
      <c r="T159" s="32">
        <v>15386</v>
      </c>
      <c r="U159" s="32">
        <v>7381</v>
      </c>
      <c r="V159" s="32">
        <v>10503</v>
      </c>
      <c r="W159" s="32">
        <v>8919</v>
      </c>
      <c r="X159" s="32">
        <v>2152</v>
      </c>
      <c r="Y159" s="32">
        <v>253</v>
      </c>
    </row>
    <row r="160" spans="2:25" hidden="1" outlineLevel="1" x14ac:dyDescent="0.3">
      <c r="B160" s="30" t="s">
        <v>303</v>
      </c>
      <c r="L160" s="32">
        <v>1862</v>
      </c>
      <c r="M160" s="32">
        <v>408</v>
      </c>
      <c r="N160" s="32">
        <v>26578</v>
      </c>
      <c r="O160" s="32">
        <v>13557</v>
      </c>
      <c r="P160" s="32">
        <v>362</v>
      </c>
      <c r="Q160" s="32">
        <v>17784</v>
      </c>
      <c r="R160" s="32">
        <v>10176</v>
      </c>
      <c r="S160" s="32">
        <v>122</v>
      </c>
      <c r="T160" s="32">
        <v>27702</v>
      </c>
      <c r="U160" s="32">
        <v>17770</v>
      </c>
      <c r="V160" s="32">
        <v>72</v>
      </c>
      <c r="W160" s="32">
        <v>2073</v>
      </c>
      <c r="X160" s="32">
        <v>1801</v>
      </c>
      <c r="Y160" s="32">
        <v>451</v>
      </c>
    </row>
    <row r="161" collapsed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0" r:id="rId1"/>
  <drawing r:id="rId2"/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FCA95E7-E1E0-4455-81AF-E7BA5FC129F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MHO!L18:V18</xm:f>
              <xm:sqref>W18</xm:sqref>
            </x14:sparkline>
          </x14:sparklines>
        </x14:sparklineGroup>
        <x14:sparklineGroup displayEmptyCellsAs="gap" xr2:uid="{195A92D1-59FE-4778-84A9-02FF6DA7627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MHO!L19:V19</xm:f>
              <xm:sqref>W19</xm:sqref>
            </x14:sparkline>
            <x14:sparkline>
              <xm:f>MHO!L20:V20</xm:f>
              <xm:sqref>W20</xm:sqref>
            </x14:sparkline>
            <x14:sparkline>
              <xm:f>MHO!L21:V21</xm:f>
              <xm:sqref>W21</xm:sqref>
            </x14:sparkline>
            <x14:sparkline>
              <xm:f>MHO!L22:V22</xm:f>
              <xm:sqref>W22</xm:sqref>
            </x14:sparkline>
            <x14:sparkline>
              <xm:f>MHO!L23:V23</xm:f>
              <xm:sqref>W23</xm:sqref>
            </x14:sparkline>
            <x14:sparkline>
              <xm:f>MHO!L24:V24</xm:f>
              <xm:sqref>W24</xm:sqref>
            </x14:sparkline>
            <x14:sparkline>
              <xm:f>MHO!L25:V25</xm:f>
              <xm:sqref>W25</xm:sqref>
            </x14:sparkline>
            <x14:sparkline>
              <xm:f>MHO!L26:V26</xm:f>
              <xm:sqref>W26</xm:sqref>
            </x14:sparkline>
            <x14:sparkline>
              <xm:f>MHO!L27:V27</xm:f>
              <xm:sqref>W27</xm:sqref>
            </x14:sparkline>
            <x14:sparkline>
              <xm:f>MHO!L28:V28</xm:f>
              <xm:sqref>W28</xm:sqref>
            </x14:sparkline>
            <x14:sparkline>
              <xm:f>MHO!L29:V29</xm:f>
              <xm:sqref>W29</xm:sqref>
            </x14:sparkline>
            <x14:sparkline>
              <xm:f>MHO!L30:V30</xm:f>
              <xm:sqref>W30</xm:sqref>
            </x14:sparkline>
            <x14:sparkline>
              <xm:f>MHO!L31:V31</xm:f>
              <xm:sqref>W31</xm:sqref>
            </x14:sparkline>
            <x14:sparkline>
              <xm:f>MHO!L32:V32</xm:f>
              <xm:sqref>W32</xm:sqref>
            </x14:sparkline>
            <x14:sparkline>
              <xm:f>MHO!L33:V33</xm:f>
              <xm:sqref>W33</xm:sqref>
            </x14:sparkline>
            <x14:sparkline>
              <xm:f>MHO!L34:V34</xm:f>
              <xm:sqref>W34</xm:sqref>
            </x14:sparkline>
            <x14:sparkline>
              <xm:f>MHO!L35:V35</xm:f>
              <xm:sqref>W35</xm:sqref>
            </x14:sparkline>
            <x14:sparkline>
              <xm:f>MHO!L36:V36</xm:f>
              <xm:sqref>W36</xm:sqref>
            </x14:sparkline>
          </x14:sparklines>
        </x14:sparklineGroup>
        <x14:sparklineGroup displayEmptyCellsAs="gap" xr2:uid="{F3727F6C-DB3E-4303-9CDB-D9623D00803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MHO!L16:V16</xm:f>
              <xm:sqref>W16</xm:sqref>
            </x14:sparkline>
            <x14:sparkline>
              <xm:f>MHO!L15:V15</xm:f>
              <xm:sqref>W15</xm:sqref>
            </x14:sparkline>
            <x14:sparkline>
              <xm:f>MHO!L14:V14</xm:f>
              <xm:sqref>W14</xm:sqref>
            </x14:sparkline>
            <x14:sparkline>
              <xm:f>MHO!L13:V13</xm:f>
              <xm:sqref>W13</xm:sqref>
            </x14:sparkline>
            <x14:sparkline>
              <xm:f>MHO!L12:V12</xm:f>
              <xm:sqref>W12</xm:sqref>
            </x14:sparkline>
            <x14:sparkline>
              <xm:f>MHO!L11:V11</xm:f>
              <xm:sqref>W11</xm:sqref>
            </x14:sparkline>
            <x14:sparkline>
              <xm:f>MHO!L10:V10</xm:f>
              <xm:sqref>W10</xm:sqref>
            </x14:sparkline>
            <x14:sparkline>
              <xm:f>MHO!L9:V9</xm:f>
              <xm:sqref>W9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FFE3-651D-455D-BAE3-AFDA626F17DB}">
  <sheetPr>
    <tabColor theme="4"/>
  </sheetPr>
  <dimension ref="B1:AE189"/>
  <sheetViews>
    <sheetView showGridLines="0" zoomScale="90" zoomScaleNormal="90" workbookViewId="0">
      <pane xSplit="3" ySplit="49" topLeftCell="D50" activePane="bottomRight" state="frozen"/>
      <selection pane="topRight" activeCell="D1" sqref="D1"/>
      <selection pane="bottomLeft" activeCell="A50" sqref="A50"/>
      <selection pane="bottomRight"/>
    </sheetView>
  </sheetViews>
  <sheetFormatPr defaultColWidth="9.109375" defaultRowHeight="14.4" outlineLevelRow="2" outlineLevelCol="2" x14ac:dyDescent="0.3"/>
  <cols>
    <col min="1" max="1" width="2.6640625" style="24" customWidth="1"/>
    <col min="2" max="2" width="50" style="24" customWidth="1"/>
    <col min="3" max="3" width="2.6640625" customWidth="1"/>
    <col min="4" max="7" width="12" style="32" customWidth="1"/>
    <col min="8" max="10" width="12" style="32" hidden="1" customWidth="1" outlineLevel="2"/>
    <col min="11" max="11" width="2.6640625" customWidth="1" collapsed="1"/>
    <col min="12" max="25" width="12.6640625" style="32" customWidth="1"/>
    <col min="26" max="27" width="2.6640625" style="24" customWidth="1"/>
    <col min="28" max="186" width="12" style="24" customWidth="1"/>
    <col min="187" max="16384" width="9.109375" style="24"/>
  </cols>
  <sheetData>
    <row r="1" spans="2:31" ht="6.9" customHeight="1" x14ac:dyDescent="0.3"/>
    <row r="3" spans="2:31" x14ac:dyDescent="0.3">
      <c r="Z3" s="32"/>
      <c r="AA3" s="32"/>
      <c r="AB3" s="32"/>
    </row>
    <row r="5" spans="2:31" ht="6.9" customHeight="1" x14ac:dyDescent="0.3"/>
    <row r="6" spans="2:31" s="36" customFormat="1" ht="22.8" x14ac:dyDescent="0.4">
      <c r="B6" s="37" t="s">
        <v>304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spans="2:31" s="58" customFormat="1" x14ac:dyDescent="0.3">
      <c r="C7" s="3"/>
      <c r="D7" s="59"/>
      <c r="E7" s="59"/>
      <c r="F7" s="59"/>
      <c r="G7" s="59"/>
      <c r="H7" s="59"/>
      <c r="I7" s="59"/>
      <c r="J7" s="59"/>
      <c r="K7" s="3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2:31" s="27" customFormat="1" hidden="1" outlineLevel="1" x14ac:dyDescent="0.3">
      <c r="B8" s="56" t="s">
        <v>183</v>
      </c>
      <c r="C8"/>
      <c r="D8" s="63">
        <f>D48</f>
        <v>44469</v>
      </c>
      <c r="E8" s="63">
        <f t="shared" ref="E8:G8" si="0">E48</f>
        <v>44377</v>
      </c>
      <c r="F8" s="63">
        <f t="shared" si="0"/>
        <v>44286</v>
      </c>
      <c r="G8" s="63">
        <f t="shared" si="0"/>
        <v>44104</v>
      </c>
      <c r="H8" s="132" t="s">
        <v>184</v>
      </c>
      <c r="I8" s="114" t="s">
        <v>185</v>
      </c>
      <c r="J8" s="96" t="s">
        <v>186</v>
      </c>
      <c r="K8" s="63"/>
      <c r="L8" s="63">
        <f t="shared" ref="L8:V8" si="1">L48</f>
        <v>44012</v>
      </c>
      <c r="M8" s="63">
        <f t="shared" si="1"/>
        <v>43921</v>
      </c>
      <c r="N8" s="63">
        <f t="shared" si="1"/>
        <v>43738</v>
      </c>
      <c r="O8" s="63">
        <f t="shared" si="1"/>
        <v>43646</v>
      </c>
      <c r="P8" s="63">
        <f t="shared" si="1"/>
        <v>43555</v>
      </c>
      <c r="Q8" s="63">
        <f t="shared" si="1"/>
        <v>43373</v>
      </c>
      <c r="R8" s="63">
        <f t="shared" si="1"/>
        <v>43281</v>
      </c>
      <c r="S8" s="63">
        <f t="shared" si="1"/>
        <v>43190</v>
      </c>
      <c r="T8" s="63">
        <f t="shared" si="1"/>
        <v>43008</v>
      </c>
      <c r="U8" s="63">
        <f t="shared" si="1"/>
        <v>42916</v>
      </c>
      <c r="V8" s="63">
        <f t="shared" si="1"/>
        <v>42825</v>
      </c>
      <c r="W8" s="63" t="s">
        <v>187</v>
      </c>
      <c r="X8"/>
      <c r="Y8"/>
      <c r="AE8"/>
    </row>
    <row r="9" spans="2:31" hidden="1" outlineLevel="2" x14ac:dyDescent="0.3">
      <c r="B9" s="30" t="str">
        <f>B51 &amp; "% YoY"</f>
        <v>Lease revenues &amp; fees% YoY</v>
      </c>
      <c r="D9" s="60">
        <f t="shared" ref="D9:G11" si="2">AVERAGE($L9:$O9)</f>
        <v>7.0232817974453909E-2</v>
      </c>
      <c r="E9" s="60">
        <f t="shared" si="2"/>
        <v>7.0232817974453909E-2</v>
      </c>
      <c r="F9" s="60">
        <f t="shared" si="2"/>
        <v>7.0232817974453909E-2</v>
      </c>
      <c r="G9" s="60">
        <f t="shared" si="2"/>
        <v>7.0232817974453909E-2</v>
      </c>
      <c r="H9" s="134"/>
      <c r="I9" s="116"/>
      <c r="J9" s="90"/>
      <c r="L9" s="60">
        <f t="shared" ref="L9:V9" si="3">IFERROR(L51 / O51 - 1, 0)</f>
        <v>6.8779646636879965E-2</v>
      </c>
      <c r="M9" s="60">
        <f t="shared" si="3"/>
        <v>0.10989274029637031</v>
      </c>
      <c r="N9" s="60">
        <f t="shared" si="3"/>
        <v>2.9408392375273928E-2</v>
      </c>
      <c r="O9" s="60">
        <f t="shared" si="3"/>
        <v>7.2850492589291438E-2</v>
      </c>
      <c r="P9" s="60">
        <f t="shared" si="3"/>
        <v>8.5154361675595203E-2</v>
      </c>
      <c r="Q9" s="60">
        <f t="shared" si="3"/>
        <v>0.16622535144137962</v>
      </c>
      <c r="R9" s="60">
        <f t="shared" si="3"/>
        <v>0.17804060499464547</v>
      </c>
      <c r="S9" s="60">
        <f t="shared" si="3"/>
        <v>0.17003934794828557</v>
      </c>
      <c r="T9" s="60">
        <f t="shared" si="3"/>
        <v>0.12086770574102679</v>
      </c>
      <c r="U9" s="60">
        <f t="shared" si="3"/>
        <v>4.2707974856137199E-2</v>
      </c>
      <c r="V9" s="60">
        <f t="shared" si="3"/>
        <v>2.7116642013131909E-3</v>
      </c>
      <c r="W9"/>
      <c r="X9"/>
      <c r="Y9"/>
      <c r="AE9"/>
    </row>
    <row r="10" spans="2:31" hidden="1" outlineLevel="2" x14ac:dyDescent="0.3">
      <c r="B10" s="30" t="str">
        <f t="shared" ref="B10:B11" si="4">B52 &amp; "% YoY"</f>
        <v>Retail sales% YoY</v>
      </c>
      <c r="D10" s="60">
        <f t="shared" si="2"/>
        <v>0.20787034548311761</v>
      </c>
      <c r="E10" s="60">
        <f t="shared" si="2"/>
        <v>0.20787034548311761</v>
      </c>
      <c r="F10" s="60">
        <f t="shared" si="2"/>
        <v>0.20787034548311761</v>
      </c>
      <c r="G10" s="60">
        <f t="shared" si="2"/>
        <v>0.20787034548311761</v>
      </c>
      <c r="H10" s="134"/>
      <c r="I10" s="116"/>
      <c r="J10" s="90"/>
      <c r="L10" s="60">
        <f t="shared" ref="L10:L11" si="5">IFERROR(L52 / O52 - 1, 0)</f>
        <v>0.57563497415149478</v>
      </c>
      <c r="M10" s="60">
        <f t="shared" ref="M10:M11" si="6">IFERROR(M52 / P52 - 1, 0)</f>
        <v>-0.25591381060192053</v>
      </c>
      <c r="N10" s="60">
        <f t="shared" ref="N10:N11" si="7">IFERROR(N52 / Q52 - 1, 0)</f>
        <v>0.16194225721784772</v>
      </c>
      <c r="O10" s="60">
        <f t="shared" ref="O10:O11" si="8">IFERROR(O52 / R52 - 1, 0)</f>
        <v>0.34981796116504849</v>
      </c>
      <c r="P10" s="60">
        <f t="shared" ref="P10:P11" si="9">IFERROR(P52 / S52 - 1, 0)</f>
        <v>0.50410991075622369</v>
      </c>
      <c r="Q10" s="60">
        <f t="shared" ref="Q10:Q11" si="10">IFERROR(Q52 / T52 - 1, 0)</f>
        <v>0.21453618106471151</v>
      </c>
      <c r="R10" s="60">
        <f t="shared" ref="R10:R11" si="11">IFERROR(R52 / U52 - 1, 0)</f>
        <v>7.9593842122502423E-2</v>
      </c>
      <c r="S10" s="60">
        <f t="shared" ref="S10:S11" si="12">IFERROR(S52 / V52 - 1, 0)</f>
        <v>-2.9847345636819345E-2</v>
      </c>
      <c r="T10" s="60">
        <f t="shared" ref="T10:T11" si="13">IFERROR(T52 / W52 - 1, 0)</f>
        <v>2.3324090686674293E-2</v>
      </c>
      <c r="U10" s="60">
        <f t="shared" ref="U10:U11" si="14">IFERROR(U52 / X52 - 1, 0)</f>
        <v>-5.4798761609907154E-2</v>
      </c>
      <c r="V10" s="60">
        <f t="shared" ref="V10:V11" si="15">IFERROR(V52 / Y52 - 1, 0)</f>
        <v>-0.19872204472843447</v>
      </c>
      <c r="W10"/>
      <c r="X10"/>
      <c r="Y10"/>
      <c r="AE10"/>
    </row>
    <row r="11" spans="2:31" hidden="1" outlineLevel="2" x14ac:dyDescent="0.3">
      <c r="B11" s="30" t="str">
        <f t="shared" si="4"/>
        <v>Non-retail sales% YoY</v>
      </c>
      <c r="D11" s="60">
        <f t="shared" si="2"/>
        <v>-0.24229332271005322</v>
      </c>
      <c r="E11" s="60">
        <f t="shared" si="2"/>
        <v>-0.24229332271005322</v>
      </c>
      <c r="F11" s="60">
        <f t="shared" si="2"/>
        <v>-0.24229332271005322</v>
      </c>
      <c r="G11" s="60">
        <f t="shared" si="2"/>
        <v>-0.24229332271005322</v>
      </c>
      <c r="H11" s="134"/>
      <c r="I11" s="116"/>
      <c r="J11" s="90"/>
      <c r="L11" s="60">
        <f t="shared" si="5"/>
        <v>-3.1649279099753791E-2</v>
      </c>
      <c r="M11" s="60">
        <f t="shared" si="6"/>
        <v>-0.27405965225386009</v>
      </c>
      <c r="N11" s="60">
        <f t="shared" si="7"/>
        <v>-0.299382437793004</v>
      </c>
      <c r="O11" s="60">
        <f t="shared" si="8"/>
        <v>-0.36408192169359499</v>
      </c>
      <c r="P11" s="60">
        <f t="shared" si="9"/>
        <v>-0.30526019162126616</v>
      </c>
      <c r="Q11" s="60">
        <f t="shared" si="10"/>
        <v>-0.2139326400085042</v>
      </c>
      <c r="R11" s="60">
        <f t="shared" si="11"/>
        <v>-0.2290307749777305</v>
      </c>
      <c r="S11" s="60">
        <f t="shared" si="12"/>
        <v>-0.23218947884662544</v>
      </c>
      <c r="T11" s="60">
        <f t="shared" si="13"/>
        <v>-0.16193261963800498</v>
      </c>
      <c r="U11" s="60">
        <f t="shared" si="14"/>
        <v>-4.1426800716154788E-2</v>
      </c>
      <c r="V11" s="60">
        <f t="shared" si="15"/>
        <v>-0.12581804425950449</v>
      </c>
      <c r="W11"/>
      <c r="X11"/>
      <c r="Y11"/>
      <c r="AE11"/>
    </row>
    <row r="12" spans="2:31" hidden="1" outlineLevel="2" x14ac:dyDescent="0.3">
      <c r="B12" s="30" t="str">
        <f>B54 &amp; " as % of Revenue QoQ"</f>
        <v>Franchise royalties &amp; fees as % of Revenue QoQ</v>
      </c>
      <c r="D12" s="81">
        <f t="shared" ref="D12:G14" si="16">$I12 + $H12 * D$8</f>
        <v>3.847513313470774E-5</v>
      </c>
      <c r="E12" s="81">
        <f t="shared" si="16"/>
        <v>9.9093928683274823E-4</v>
      </c>
      <c r="F12" s="81">
        <f t="shared" si="16"/>
        <v>1.9330505692949917E-3</v>
      </c>
      <c r="G12" s="81">
        <f>$I12 + $H12 * G$8</f>
        <v>3.8172731342194788E-3</v>
      </c>
      <c r="H12" s="134">
        <f>SLOPE($L12:$V12, $L$8:$V$8)</f>
        <v>-1.0352871235848677E-5</v>
      </c>
      <c r="I12" s="116">
        <f>INTERCEPT($L12:$V12, $L$8:$V$8)</f>
        <v>0.4604203061200895</v>
      </c>
      <c r="J12" s="90">
        <f>RSQ($L12:$V12, $L$8:$V$8)</f>
        <v>0.95809201134191624</v>
      </c>
      <c r="L12" s="81">
        <f>L54 / SUM(L$51:L$53)</f>
        <v>3.308585311847685E-3</v>
      </c>
      <c r="M12" s="81">
        <f t="shared" ref="M12:V12" si="17">M54 / SUM(M$51:M$53)</f>
        <v>6.2012930120170801E-3</v>
      </c>
      <c r="N12" s="81">
        <f t="shared" si="17"/>
        <v>8.5421695019092334E-3</v>
      </c>
      <c r="O12" s="81">
        <f t="shared" si="17"/>
        <v>9.0523013674708372E-3</v>
      </c>
      <c r="P12" s="81">
        <f t="shared" si="17"/>
        <v>9.2630693588289913E-3</v>
      </c>
      <c r="Q12" s="81">
        <f t="shared" si="17"/>
        <v>1.0883745560690309E-2</v>
      </c>
      <c r="R12" s="81">
        <f t="shared" si="17"/>
        <v>1.3380181440777938E-2</v>
      </c>
      <c r="S12" s="81">
        <f t="shared" si="17"/>
        <v>1.3803198710470877E-2</v>
      </c>
      <c r="T12" s="81">
        <f t="shared" si="17"/>
        <v>1.3617999229861804E-2</v>
      </c>
      <c r="U12" s="81">
        <f t="shared" si="17"/>
        <v>1.6155263877288526E-2</v>
      </c>
      <c r="V12" s="81">
        <f t="shared" si="17"/>
        <v>1.728189532533311E-2</v>
      </c>
      <c r="W12"/>
      <c r="X12"/>
      <c r="Y12"/>
      <c r="AE12"/>
    </row>
    <row r="13" spans="2:31" hidden="1" outlineLevel="2" x14ac:dyDescent="0.3">
      <c r="B13" s="30" t="str">
        <f>B55 &amp; " as % of Revenue QoQ"</f>
        <v>Interest &amp; fees on loans receivable as % of Revenue QoQ</v>
      </c>
      <c r="D13" s="81">
        <f t="shared" si="16"/>
        <v>-8.2128095307299059E-3</v>
      </c>
      <c r="E13" s="81">
        <f t="shared" si="16"/>
        <v>-8.3483727608207325E-3</v>
      </c>
      <c r="F13" s="81">
        <f t="shared" si="16"/>
        <v>-8.4824624775410168E-3</v>
      </c>
      <c r="G13" s="81">
        <f t="shared" si="16"/>
        <v>-8.7506419109815853E-3</v>
      </c>
      <c r="H13" s="134">
        <f t="shared" ref="H13:H14" si="18">SLOPE($L13:$V13, $L$8:$V$8)</f>
        <v>1.4735133705525477E-6</v>
      </c>
      <c r="I13" s="116">
        <f t="shared" ref="I13:I14" si="19">INTERCEPT($L13:$V13, $L$8:$V$8)</f>
        <v>-7.3738475605831147E-2</v>
      </c>
      <c r="J13" s="90">
        <f t="shared" ref="J13:J14" si="20">RSQ($L13:$V13, $L$8:$V$8)</f>
        <v>0.63383158617638635</v>
      </c>
      <c r="L13" s="81">
        <f t="shared" ref="L13:V13" si="21">L55 / SUM(L$51:L$53)</f>
        <v>-9.2561729942746227E-3</v>
      </c>
      <c r="M13" s="81">
        <f t="shared" si="21"/>
        <v>-9.1377767940311171E-3</v>
      </c>
      <c r="N13" s="81">
        <f t="shared" si="21"/>
        <v>-9.1759399608118599E-3</v>
      </c>
      <c r="O13" s="81">
        <f t="shared" si="21"/>
        <v>-9.0575612752962116E-3</v>
      </c>
      <c r="P13" s="81">
        <f t="shared" si="21"/>
        <v>-8.6986529462838563E-3</v>
      </c>
      <c r="Q13" s="81">
        <f t="shared" si="21"/>
        <v>-1.0192322741164528E-2</v>
      </c>
      <c r="R13" s="81">
        <f t="shared" si="21"/>
        <v>-1.0161213254159444E-2</v>
      </c>
      <c r="S13" s="81">
        <f t="shared" si="21"/>
        <v>-1.0240252067743205E-2</v>
      </c>
      <c r="T13" s="81">
        <f t="shared" si="21"/>
        <v>-1.0923737981871191E-2</v>
      </c>
      <c r="U13" s="81">
        <f t="shared" si="21"/>
        <v>-1.0748339940816103E-2</v>
      </c>
      <c r="V13" s="81">
        <f t="shared" si="21"/>
        <v>-9.9802002368183113E-3</v>
      </c>
      <c r="W13"/>
      <c r="X13"/>
      <c r="Y13"/>
      <c r="AE13"/>
    </row>
    <row r="14" spans="2:31" hidden="1" outlineLevel="2" x14ac:dyDescent="0.3">
      <c r="B14" s="30" t="str">
        <f>B58 &amp; " as % of Revenue QoQ"</f>
        <v>Depreciation of lease merchandise as % of Revenue QoQ</v>
      </c>
      <c r="D14" s="80">
        <f t="shared" si="16"/>
        <v>0.58621303675308134</v>
      </c>
      <c r="E14" s="80">
        <f t="shared" si="16"/>
        <v>0.57740321685994012</v>
      </c>
      <c r="F14" s="80">
        <f t="shared" si="16"/>
        <v>0.56868915587868152</v>
      </c>
      <c r="G14" s="80">
        <f t="shared" si="16"/>
        <v>0.55126103391616255</v>
      </c>
      <c r="H14" s="134">
        <f t="shared" si="18"/>
        <v>9.575891188196878E-5</v>
      </c>
      <c r="I14" s="116">
        <f t="shared" si="19"/>
        <v>-3.6720900157261882</v>
      </c>
      <c r="J14" s="90">
        <f t="shared" si="20"/>
        <v>0.93395448119430757</v>
      </c>
      <c r="L14" s="81">
        <f t="shared" ref="L14:V14" si="22">L58 / SUM(L$51:L$53)</f>
        <v>0.53837123212110305</v>
      </c>
      <c r="M14" s="81">
        <f t="shared" si="22"/>
        <v>0.55096606996283282</v>
      </c>
      <c r="N14" s="81">
        <f t="shared" si="22"/>
        <v>0.51673312454117659</v>
      </c>
      <c r="O14" s="81">
        <f t="shared" si="22"/>
        <v>0.49955238184406059</v>
      </c>
      <c r="P14" s="81">
        <f t="shared" si="22"/>
        <v>0.50386992465393021</v>
      </c>
      <c r="Q14" s="81">
        <f t="shared" si="22"/>
        <v>0.46587212000956202</v>
      </c>
      <c r="R14" s="81">
        <f t="shared" si="22"/>
        <v>0.45841770664241865</v>
      </c>
      <c r="S14" s="81">
        <f t="shared" si="22"/>
        <v>0.47220633324497513</v>
      </c>
      <c r="T14" s="81">
        <f t="shared" si="22"/>
        <v>0.44689530399066052</v>
      </c>
      <c r="U14" s="81">
        <f t="shared" si="22"/>
        <v>0.43512132195007036</v>
      </c>
      <c r="V14" s="81">
        <f t="shared" si="22"/>
        <v>0.44053316977536333</v>
      </c>
      <c r="W14"/>
      <c r="X14"/>
      <c r="Y14"/>
      <c r="AE14"/>
    </row>
    <row r="15" spans="2:31" customFormat="1" ht="6.9" hidden="1" customHeight="1" outlineLevel="2" x14ac:dyDescent="0.3"/>
    <row r="16" spans="2:31" hidden="1" outlineLevel="2" x14ac:dyDescent="0.3">
      <c r="B16" s="30" t="str">
        <f>B59 &amp; " as % of Revenue"</f>
        <v>Retail cost of sales as % of Revenue</v>
      </c>
      <c r="D16" s="80">
        <f t="shared" ref="D16:G20" si="23">AVERAGE($L16:$O16)</f>
        <v>0.6625374309826022</v>
      </c>
      <c r="E16" s="80">
        <f t="shared" si="23"/>
        <v>0.6625374309826022</v>
      </c>
      <c r="F16" s="80">
        <f t="shared" si="23"/>
        <v>0.6625374309826022</v>
      </c>
      <c r="G16" s="80">
        <f t="shared" si="23"/>
        <v>0.6625374309826022</v>
      </c>
      <c r="H16" s="134"/>
      <c r="I16" s="116"/>
      <c r="J16" s="90"/>
      <c r="L16" s="81">
        <f>L59 / L52</f>
        <v>0.64657631954350925</v>
      </c>
      <c r="M16" s="81">
        <f t="shared" ref="M16:V16" si="24">M59 / M52</f>
        <v>0.71996642534886157</v>
      </c>
      <c r="N16" s="81">
        <f t="shared" si="24"/>
        <v>0.64852044273774567</v>
      </c>
      <c r="O16" s="81">
        <f t="shared" si="24"/>
        <v>0.63508653630029221</v>
      </c>
      <c r="P16" s="81">
        <f t="shared" si="24"/>
        <v>0.67390116324459359</v>
      </c>
      <c r="Q16" s="81">
        <f t="shared" si="24"/>
        <v>0.64002624671916009</v>
      </c>
      <c r="R16" s="81">
        <f t="shared" si="24"/>
        <v>0.63046116504854366</v>
      </c>
      <c r="S16" s="81">
        <f t="shared" si="24"/>
        <v>0.66486613433536867</v>
      </c>
      <c r="T16" s="81">
        <f t="shared" si="24"/>
        <v>0.69811922218680267</v>
      </c>
      <c r="U16" s="81">
        <f t="shared" si="24"/>
        <v>0.64526695054045202</v>
      </c>
      <c r="V16" s="81">
        <f t="shared" si="24"/>
        <v>0.614149008885851</v>
      </c>
      <c r="W16"/>
      <c r="X16"/>
      <c r="Y16"/>
      <c r="AE16"/>
    </row>
    <row r="17" spans="2:31" hidden="1" outlineLevel="2" x14ac:dyDescent="0.3">
      <c r="B17" s="30" t="str">
        <f>B60 &amp; " as % of Revenue"</f>
        <v>Non-retail cost of sales as % of Revenue</v>
      </c>
      <c r="D17" s="80">
        <f t="shared" si="23"/>
        <v>0.85383166589341397</v>
      </c>
      <c r="E17" s="80">
        <f t="shared" si="23"/>
        <v>0.85383166589341397</v>
      </c>
      <c r="F17" s="80">
        <f t="shared" si="23"/>
        <v>0.85383166589341397</v>
      </c>
      <c r="G17" s="80">
        <f t="shared" si="23"/>
        <v>0.85383166589341397</v>
      </c>
      <c r="H17" s="134"/>
      <c r="I17" s="116"/>
      <c r="J17" s="90"/>
      <c r="L17" s="81">
        <f t="shared" ref="L17:V17" si="25">L60 / L53</f>
        <v>0.88718072872533593</v>
      </c>
      <c r="M17" s="81">
        <f t="shared" si="25"/>
        <v>0.87838039186470984</v>
      </c>
      <c r="N17" s="81">
        <f t="shared" si="25"/>
        <v>0.80144764355798614</v>
      </c>
      <c r="O17" s="81">
        <f t="shared" si="25"/>
        <v>0.84831789942562419</v>
      </c>
      <c r="P17" s="81">
        <f t="shared" si="25"/>
        <v>0.78948649306400587</v>
      </c>
      <c r="Q17" s="81">
        <f t="shared" si="25"/>
        <v>0.79368012982329605</v>
      </c>
      <c r="R17" s="81">
        <f t="shared" si="25"/>
        <v>0.87713609511563329</v>
      </c>
      <c r="S17" s="81">
        <f t="shared" si="25"/>
        <v>0.90212286304715383</v>
      </c>
      <c r="T17" s="81">
        <f t="shared" si="25"/>
        <v>0.89913718264443776</v>
      </c>
      <c r="U17" s="81">
        <f t="shared" si="25"/>
        <v>0.88816413321456278</v>
      </c>
      <c r="V17" s="81">
        <f t="shared" si="25"/>
        <v>0.895538534770003</v>
      </c>
      <c r="W17"/>
      <c r="X17"/>
      <c r="Y17"/>
      <c r="AE17"/>
    </row>
    <row r="18" spans="2:31" hidden="1" outlineLevel="2" x14ac:dyDescent="0.3">
      <c r="B18" s="30" t="s">
        <v>305</v>
      </c>
      <c r="D18" s="155">
        <f t="shared" si="23"/>
        <v>26689.5</v>
      </c>
      <c r="E18" s="155">
        <f t="shared" si="23"/>
        <v>26689.5</v>
      </c>
      <c r="F18" s="155">
        <f t="shared" si="23"/>
        <v>26689.5</v>
      </c>
      <c r="G18" s="155">
        <f t="shared" si="23"/>
        <v>26689.5</v>
      </c>
      <c r="H18" s="154"/>
      <c r="I18" s="154"/>
      <c r="J18" s="91"/>
      <c r="L18" s="147">
        <f>L60</f>
        <v>29316</v>
      </c>
      <c r="M18" s="147">
        <f t="shared" ref="M18:V18" si="26">M60</f>
        <v>23581</v>
      </c>
      <c r="N18" s="147">
        <f t="shared" si="26"/>
        <v>24913</v>
      </c>
      <c r="O18" s="147">
        <f t="shared" si="26"/>
        <v>28948</v>
      </c>
      <c r="P18" s="147">
        <f t="shared" si="26"/>
        <v>29196</v>
      </c>
      <c r="Q18" s="147">
        <f t="shared" si="26"/>
        <v>35214</v>
      </c>
      <c r="R18" s="147">
        <f t="shared" si="26"/>
        <v>47068</v>
      </c>
      <c r="S18" s="147">
        <f t="shared" si="26"/>
        <v>48020</v>
      </c>
      <c r="T18" s="147">
        <f t="shared" si="26"/>
        <v>50750</v>
      </c>
      <c r="U18" s="147">
        <f t="shared" si="26"/>
        <v>61818</v>
      </c>
      <c r="V18" s="147">
        <f t="shared" si="26"/>
        <v>62085</v>
      </c>
      <c r="W18"/>
      <c r="X18"/>
      <c r="Y18"/>
      <c r="AE18"/>
    </row>
    <row r="19" spans="2:31" hidden="1" outlineLevel="2" x14ac:dyDescent="0.3">
      <c r="B19" s="30" t="s">
        <v>306</v>
      </c>
      <c r="D19" s="80">
        <f t="shared" si="23"/>
        <v>4.7018471017036441E-3</v>
      </c>
      <c r="E19" s="80">
        <f t="shared" si="23"/>
        <v>4.7018471017036441E-3</v>
      </c>
      <c r="F19" s="80">
        <f t="shared" si="23"/>
        <v>4.7018471017036441E-3</v>
      </c>
      <c r="G19" s="80">
        <f t="shared" si="23"/>
        <v>4.7018471017036441E-3</v>
      </c>
      <c r="H19" s="154"/>
      <c r="I19" s="154"/>
      <c r="J19" s="91"/>
      <c r="L19" s="81">
        <f>L67 / L91</f>
        <v>2.3518685440172401E-3</v>
      </c>
      <c r="M19" s="81">
        <f t="shared" ref="M19:V19" si="27">M67 / M91</f>
        <v>1.930560164097614E-3</v>
      </c>
      <c r="N19" s="81">
        <f t="shared" si="27"/>
        <v>3.9087947882736158E-3</v>
      </c>
      <c r="O19" s="81">
        <f t="shared" si="27"/>
        <v>1.0616164910426109E-2</v>
      </c>
      <c r="P19" s="81">
        <f t="shared" si="27"/>
        <v>1.1039578528566276E-3</v>
      </c>
      <c r="Q19" s="81">
        <f t="shared" si="27"/>
        <v>1.8255578093306289E-4</v>
      </c>
      <c r="R19" s="81">
        <f t="shared" si="27"/>
        <v>1.5560899702928279E-3</v>
      </c>
      <c r="S19" s="81">
        <f t="shared" si="27"/>
        <v>2.011411273860615E-3</v>
      </c>
      <c r="T19" s="81">
        <f t="shared" si="27"/>
        <v>3.3105253534274522E-3</v>
      </c>
      <c r="U19" s="81">
        <f t="shared" si="27"/>
        <v>3.7683557806378293E-3</v>
      </c>
      <c r="V19" s="81">
        <f t="shared" si="27"/>
        <v>9.9145960361974369E-3</v>
      </c>
      <c r="W19"/>
      <c r="X19"/>
      <c r="Y19"/>
      <c r="AE19"/>
    </row>
    <row r="20" spans="2:31" hidden="1" outlineLevel="2" x14ac:dyDescent="0.3">
      <c r="B20" s="30" t="s">
        <v>189</v>
      </c>
      <c r="D20" s="80">
        <f t="shared" si="23"/>
        <v>9.9312857758796017E-3</v>
      </c>
      <c r="E20" s="80">
        <f t="shared" si="23"/>
        <v>9.9312857758796017E-3</v>
      </c>
      <c r="F20" s="80">
        <f t="shared" si="23"/>
        <v>9.9312857758796017E-3</v>
      </c>
      <c r="G20" s="80">
        <f t="shared" si="23"/>
        <v>9.9312857758796017E-3</v>
      </c>
      <c r="H20" s="134"/>
      <c r="I20" s="116"/>
      <c r="J20" s="90"/>
      <c r="L20" s="81">
        <f t="shared" ref="L20:V20" si="28">L68 / SUM(L125)</f>
        <v>9.9824703202578014E-3</v>
      </c>
      <c r="M20" s="81">
        <f t="shared" si="28"/>
        <v>5.8801768851314646E-3</v>
      </c>
      <c r="N20" s="81">
        <f t="shared" si="28"/>
        <v>1.1497895461629987E-2</v>
      </c>
      <c r="O20" s="81">
        <f t="shared" si="28"/>
        <v>1.2364600436499151E-2</v>
      </c>
      <c r="P20" s="81">
        <f t="shared" si="28"/>
        <v>1.2138549938033634E-2</v>
      </c>
      <c r="Q20" s="81">
        <f t="shared" si="28"/>
        <v>1.2561377547588619E-2</v>
      </c>
      <c r="R20" s="81">
        <f t="shared" si="28"/>
        <v>1.3948069362975881E-2</v>
      </c>
      <c r="S20" s="81">
        <f t="shared" si="28"/>
        <v>1.2066306109299646E-2</v>
      </c>
      <c r="T20" s="81">
        <f t="shared" si="28"/>
        <v>1.262976567719639E-2</v>
      </c>
      <c r="U20" s="81">
        <f t="shared" si="28"/>
        <v>1.3841486065024071E-2</v>
      </c>
      <c r="V20" s="81">
        <f t="shared" si="28"/>
        <v>1.1996715602538394E-2</v>
      </c>
      <c r="W20"/>
      <c r="X20"/>
      <c r="Y20"/>
      <c r="AE20"/>
    </row>
    <row r="21" spans="2:31" hidden="1" outlineLevel="2" x14ac:dyDescent="0.3">
      <c r="B21" s="30" t="s">
        <v>190</v>
      </c>
      <c r="D21" s="80">
        <f t="shared" ref="D21:F21" si="29">$L21</f>
        <v>0.27406340360548759</v>
      </c>
      <c r="E21" s="80">
        <f t="shared" si="29"/>
        <v>0.27406340360548759</v>
      </c>
      <c r="F21" s="80">
        <f t="shared" si="29"/>
        <v>0.27406340360548759</v>
      </c>
      <c r="G21" s="80">
        <f>$L21</f>
        <v>0.27406340360548759</v>
      </c>
      <c r="H21" s="134"/>
      <c r="I21" s="116"/>
      <c r="J21" s="90"/>
      <c r="L21" s="80">
        <f>L58 / L88</f>
        <v>0.27406340360548759</v>
      </c>
      <c r="M21" s="80">
        <f t="shared" ref="M21:V21" si="30">M58 / M88</f>
        <v>0.27333387932363695</v>
      </c>
      <c r="N21" s="80">
        <f t="shared" si="30"/>
        <v>0.22514640068777486</v>
      </c>
      <c r="O21" s="80">
        <f t="shared" si="30"/>
        <v>0.22106532829878092</v>
      </c>
      <c r="P21" s="80">
        <f t="shared" si="30"/>
        <v>0.2374542582174004</v>
      </c>
      <c r="Q21" s="80">
        <f t="shared" si="30"/>
        <v>0.21701134708992384</v>
      </c>
      <c r="R21" s="80">
        <f t="shared" si="30"/>
        <v>0.21742150139298946</v>
      </c>
      <c r="S21" s="80">
        <f t="shared" si="30"/>
        <v>0.23563736069533178</v>
      </c>
      <c r="T21" s="80">
        <f t="shared" si="30"/>
        <v>0.20180577237729116</v>
      </c>
      <c r="U21" s="80">
        <f t="shared" si="30"/>
        <v>0.19869724267148667</v>
      </c>
      <c r="V21" s="80">
        <f t="shared" si="30"/>
        <v>0.21254466691952967</v>
      </c>
      <c r="W21"/>
      <c r="X21"/>
      <c r="Y21"/>
      <c r="AE21"/>
    </row>
    <row r="22" spans="2:31" hidden="1" outlineLevel="2" x14ac:dyDescent="0.3">
      <c r="B22" s="30" t="s">
        <v>191</v>
      </c>
      <c r="D22" s="60">
        <f t="shared" ref="D22:F22" si="31">AVERAGE($L22,$N22:$R22)</f>
        <v>0.23379046552863877</v>
      </c>
      <c r="E22" s="60">
        <f t="shared" si="31"/>
        <v>0.23379046552863877</v>
      </c>
      <c r="F22" s="60">
        <f t="shared" si="31"/>
        <v>0.23379046552863877</v>
      </c>
      <c r="G22" s="60">
        <f>AVERAGE($L22,$N22:$R22)</f>
        <v>0.23379046552863877</v>
      </c>
      <c r="H22" s="134"/>
      <c r="I22" s="116"/>
      <c r="J22" s="90"/>
      <c r="L22" s="60">
        <f>L72 / L71</f>
        <v>0.26162759218149334</v>
      </c>
      <c r="M22" s="60">
        <f t="shared" ref="M22:V22" si="32">M72 / M71</f>
        <v>-0.32748184756583226</v>
      </c>
      <c r="N22" s="60">
        <f t="shared" si="32"/>
        <v>0.23072285642052859</v>
      </c>
      <c r="O22" s="60">
        <f t="shared" si="32"/>
        <v>0.28424980440146852</v>
      </c>
      <c r="P22" s="60">
        <f t="shared" si="32"/>
        <v>0.20769477770966518</v>
      </c>
      <c r="Q22" s="60">
        <f t="shared" si="32"/>
        <v>0.18071839991052621</v>
      </c>
      <c r="R22" s="60">
        <f t="shared" si="32"/>
        <v>0.23772936254815061</v>
      </c>
      <c r="S22" s="60">
        <f t="shared" si="32"/>
        <v>0.21785360285945995</v>
      </c>
      <c r="T22" s="60">
        <f t="shared" si="32"/>
        <v>0.35389204762754645</v>
      </c>
      <c r="U22" s="60">
        <f t="shared" si="32"/>
        <v>0.36910653350722672</v>
      </c>
      <c r="V22" s="60">
        <f t="shared" si="32"/>
        <v>0.35978699647857082</v>
      </c>
      <c r="W22"/>
      <c r="X22"/>
      <c r="Y22"/>
      <c r="AE22"/>
    </row>
    <row r="23" spans="2:31" hidden="1" outlineLevel="1" x14ac:dyDescent="0.3">
      <c r="B23" s="30"/>
      <c r="D23" s="61"/>
      <c r="E23" s="61"/>
      <c r="F23" s="61"/>
      <c r="G23" s="61"/>
      <c r="H23" s="133"/>
      <c r="I23" s="115"/>
      <c r="J23" s="97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/>
      <c r="X23"/>
      <c r="Y23"/>
      <c r="AE23"/>
    </row>
    <row r="24" spans="2:31" hidden="1" outlineLevel="2" x14ac:dyDescent="0.3">
      <c r="B24" s="30" t="str">
        <f>B83 &amp; " as % of Sales"</f>
        <v>Cash &amp; cash equivalents as % of Sales</v>
      </c>
      <c r="D24" s="60">
        <f>AVERAGE($L24:$O24)</f>
        <v>0.27004047751945887</v>
      </c>
      <c r="E24" s="60">
        <f t="shared" ref="E24:G30" si="33">AVERAGE($L24:$O24)</f>
        <v>0.27004047751945887</v>
      </c>
      <c r="F24" s="60">
        <f t="shared" si="33"/>
        <v>0.27004047751945887</v>
      </c>
      <c r="G24" s="60">
        <f t="shared" si="33"/>
        <v>0.27004047751945887</v>
      </c>
      <c r="H24" s="134"/>
      <c r="I24" s="116"/>
      <c r="J24" s="90"/>
      <c r="L24" s="60">
        <f t="shared" ref="L24:V24" si="34">L83 / SUM(L$51:L$53)</f>
        <v>0.30780855630641923</v>
      </c>
      <c r="M24" s="60">
        <f t="shared" si="34"/>
        <v>0.50818231284988336</v>
      </c>
      <c r="N24" s="60">
        <f t="shared" si="34"/>
        <v>0.15871830487527924</v>
      </c>
      <c r="O24" s="60">
        <f t="shared" si="34"/>
        <v>0.10545273604625352</v>
      </c>
      <c r="P24" s="60">
        <f t="shared" si="34"/>
        <v>0.12491008071858963</v>
      </c>
      <c r="Q24" s="60">
        <f t="shared" si="34"/>
        <v>3.750406009911466E-2</v>
      </c>
      <c r="R24" s="60">
        <f t="shared" si="34"/>
        <v>0.10408732816812349</v>
      </c>
      <c r="S24" s="60">
        <f t="shared" si="34"/>
        <v>0.20327039867441213</v>
      </c>
      <c r="T24" s="60">
        <f t="shared" si="34"/>
        <v>0.1543369171245729</v>
      </c>
      <c r="U24" s="60">
        <f t="shared" si="34"/>
        <v>0.32796168289877636</v>
      </c>
      <c r="V24" s="60">
        <f t="shared" si="34"/>
        <v>0.42409462023275368</v>
      </c>
      <c r="W24"/>
      <c r="X24"/>
      <c r="Y24"/>
      <c r="AE24"/>
    </row>
    <row r="25" spans="2:31" hidden="1" outlineLevel="2" x14ac:dyDescent="0.3">
      <c r="B25" s="30" t="str">
        <f>B84 &amp; " as % of Sales"</f>
        <v>Investments as % of Sales</v>
      </c>
      <c r="D25" s="60">
        <f t="shared" ref="D25:D30" si="35">AVERAGE($L25:$O25)</f>
        <v>0</v>
      </c>
      <c r="E25" s="60">
        <f t="shared" si="33"/>
        <v>0</v>
      </c>
      <c r="F25" s="60">
        <f t="shared" si="33"/>
        <v>0</v>
      </c>
      <c r="G25" s="60">
        <f t="shared" si="33"/>
        <v>0</v>
      </c>
      <c r="H25" s="134"/>
      <c r="I25" s="116"/>
      <c r="J25" s="90"/>
      <c r="L25" s="60">
        <f t="shared" ref="L25:V25" si="36">L84 / SUM(L$51:L$53)</f>
        <v>0</v>
      </c>
      <c r="M25" s="60">
        <f t="shared" si="36"/>
        <v>0</v>
      </c>
      <c r="N25" s="60">
        <f t="shared" si="36"/>
        <v>0</v>
      </c>
      <c r="O25" s="60">
        <f t="shared" si="36"/>
        <v>0</v>
      </c>
      <c r="P25" s="60">
        <f t="shared" si="36"/>
        <v>0</v>
      </c>
      <c r="Q25" s="60">
        <f t="shared" si="36"/>
        <v>0</v>
      </c>
      <c r="R25" s="60">
        <f t="shared" si="36"/>
        <v>0</v>
      </c>
      <c r="S25" s="60">
        <f t="shared" si="36"/>
        <v>2.1963634334356785E-2</v>
      </c>
      <c r="T25" s="60">
        <f t="shared" si="36"/>
        <v>2.7985355149840779E-2</v>
      </c>
      <c r="U25" s="60">
        <f t="shared" si="36"/>
        <v>2.8032355879399899E-2</v>
      </c>
      <c r="V25" s="60">
        <f t="shared" si="36"/>
        <v>2.6090173500444794E-2</v>
      </c>
      <c r="W25"/>
      <c r="X25"/>
      <c r="Y25"/>
      <c r="AE25"/>
    </row>
    <row r="26" spans="2:31" customFormat="1" hidden="1" outlineLevel="2" x14ac:dyDescent="0.3"/>
    <row r="27" spans="2:31" hidden="1" outlineLevel="2" x14ac:dyDescent="0.3">
      <c r="B27" s="30" t="str">
        <f>B85 &amp; " as % of Sales"</f>
        <v>Accounts receivable, gross as % of Sales</v>
      </c>
      <c r="D27" s="60">
        <f t="shared" si="35"/>
        <v>0.15897555515255746</v>
      </c>
      <c r="E27" s="60">
        <f t="shared" si="33"/>
        <v>0.15897555515255746</v>
      </c>
      <c r="F27" s="60">
        <f t="shared" si="33"/>
        <v>0.15897555515255746</v>
      </c>
      <c r="G27" s="60">
        <f t="shared" si="33"/>
        <v>0.15897555515255746</v>
      </c>
      <c r="H27" s="134"/>
      <c r="I27" s="116"/>
      <c r="J27" s="90"/>
      <c r="L27" s="60">
        <f t="shared" ref="L27:V27" si="37">L85 / SUM(L$51:L$53)</f>
        <v>0.15065812825512193</v>
      </c>
      <c r="M27" s="60">
        <f t="shared" si="37"/>
        <v>0.15199162585655129</v>
      </c>
      <c r="N27" s="60">
        <f t="shared" si="37"/>
        <v>0.17728883560522438</v>
      </c>
      <c r="O27" s="60">
        <f t="shared" si="37"/>
        <v>0.15596363089333223</v>
      </c>
      <c r="P27" s="60">
        <f t="shared" si="37"/>
        <v>0.14167958653731033</v>
      </c>
      <c r="Q27" s="60">
        <f t="shared" si="37"/>
        <v>0.16095680054542005</v>
      </c>
      <c r="R27" s="60">
        <f t="shared" si="37"/>
        <v>0.14707385087691227</v>
      </c>
      <c r="S27" s="60">
        <f t="shared" si="37"/>
        <v>0.1343284543143313</v>
      </c>
      <c r="T27" s="60">
        <f t="shared" si="37"/>
        <v>0.16730457743250596</v>
      </c>
      <c r="U27" s="60">
        <f t="shared" si="37"/>
        <v>0.15294968360928549</v>
      </c>
      <c r="V27" s="60">
        <f t="shared" si="37"/>
        <v>0.15347432906549255</v>
      </c>
      <c r="W27"/>
      <c r="X27"/>
      <c r="Y27"/>
      <c r="AE27"/>
    </row>
    <row r="28" spans="2:31" hidden="1" outlineLevel="2" x14ac:dyDescent="0.3">
      <c r="B28" s="30" t="str">
        <f>B88 &amp; " as % of Sales"</f>
        <v>Lease merchandise, gross as % of Sales</v>
      </c>
      <c r="D28" s="60">
        <f t="shared" si="35"/>
        <v>2.1337444469630098</v>
      </c>
      <c r="E28" s="60">
        <f t="shared" si="33"/>
        <v>2.1337444469630098</v>
      </c>
      <c r="F28" s="60">
        <f t="shared" si="33"/>
        <v>2.1337444469630098</v>
      </c>
      <c r="G28" s="60">
        <f t="shared" si="33"/>
        <v>2.1337444469630098</v>
      </c>
      <c r="H28" s="134"/>
      <c r="I28" s="116"/>
      <c r="J28" s="90"/>
      <c r="L28" s="60">
        <f t="shared" ref="L28:V28" si="38">L88 / SUM(L$51:L$53)</f>
        <v>1.9644039482779132</v>
      </c>
      <c r="M28" s="60">
        <f t="shared" si="38"/>
        <v>2.0157254977911814</v>
      </c>
      <c r="N28" s="60">
        <f t="shared" si="38"/>
        <v>2.2950983136424372</v>
      </c>
      <c r="O28" s="60">
        <f t="shared" si="38"/>
        <v>2.2597500281405067</v>
      </c>
      <c r="P28" s="60">
        <f t="shared" si="38"/>
        <v>2.1219662617825699</v>
      </c>
      <c r="Q28" s="60">
        <f t="shared" si="38"/>
        <v>2.1467638732112784</v>
      </c>
      <c r="R28" s="60">
        <f t="shared" si="38"/>
        <v>2.108428576315589</v>
      </c>
      <c r="S28" s="60">
        <f t="shared" si="38"/>
        <v>2.0039535829613881</v>
      </c>
      <c r="T28" s="60">
        <f t="shared" si="38"/>
        <v>2.2144822654287406</v>
      </c>
      <c r="U28" s="60">
        <f t="shared" si="38"/>
        <v>2.1898709619713856</v>
      </c>
      <c r="V28" s="60">
        <f t="shared" si="38"/>
        <v>2.0726616017241737</v>
      </c>
      <c r="W28"/>
      <c r="X28"/>
      <c r="Y28"/>
      <c r="AE28"/>
    </row>
    <row r="29" spans="2:31" hidden="1" outlineLevel="2" x14ac:dyDescent="0.3">
      <c r="B29" s="30" t="str">
        <f>B91 &amp; " as % of Sales"</f>
        <v>Loans receivable, gross as % of Sales</v>
      </c>
      <c r="D29" s="60">
        <f t="shared" si="35"/>
        <v>9.4362408930150327E-2</v>
      </c>
      <c r="E29" s="60">
        <f t="shared" si="33"/>
        <v>9.4362408930150327E-2</v>
      </c>
      <c r="F29" s="60">
        <f t="shared" si="33"/>
        <v>9.4362408930150327E-2</v>
      </c>
      <c r="G29" s="60">
        <f t="shared" si="33"/>
        <v>9.4362408930150327E-2</v>
      </c>
      <c r="H29" s="134"/>
      <c r="I29" s="116"/>
      <c r="J29" s="90"/>
      <c r="L29" s="60">
        <f t="shared" ref="L29:V29" si="39">L91 / SUM(L$51:L$53)</f>
        <v>9.4900845680305115E-2</v>
      </c>
      <c r="M29" s="60">
        <f t="shared" si="39"/>
        <v>9.1721771850704154E-2</v>
      </c>
      <c r="N29" s="60">
        <f t="shared" si="39"/>
        <v>9.7283765441553163E-2</v>
      </c>
      <c r="O29" s="60">
        <f t="shared" si="39"/>
        <v>9.3543252748038846E-2</v>
      </c>
      <c r="P29" s="60">
        <f t="shared" si="39"/>
        <v>9.2046155378506092E-2</v>
      </c>
      <c r="Q29" s="60">
        <f t="shared" si="39"/>
        <v>0.10569657365153791</v>
      </c>
      <c r="R29" s="60">
        <f t="shared" si="39"/>
        <v>0.10921097207983747</v>
      </c>
      <c r="S29" s="60">
        <f t="shared" si="39"/>
        <v>0.10777591641241321</v>
      </c>
      <c r="T29" s="60">
        <f t="shared" si="39"/>
        <v>0.12702512728672979</v>
      </c>
      <c r="U29" s="60">
        <f t="shared" si="39"/>
        <v>0.12636606084427127</v>
      </c>
      <c r="V29" s="60">
        <f t="shared" si="39"/>
        <v>0.11955187063343421</v>
      </c>
      <c r="W29"/>
      <c r="X29"/>
      <c r="Y29"/>
      <c r="AE29"/>
    </row>
    <row r="30" spans="2:31" hidden="1" outlineLevel="2" x14ac:dyDescent="0.3">
      <c r="B30" s="30" t="str">
        <f>B94 &amp; " as % of Sales"</f>
        <v>Property, plant &amp; equipment at cost, gross as % of Sales</v>
      </c>
      <c r="D30" s="60">
        <f t="shared" si="35"/>
        <v>0.54744693826527535</v>
      </c>
      <c r="E30" s="60">
        <f t="shared" si="33"/>
        <v>0.54744693826527535</v>
      </c>
      <c r="F30" s="60">
        <f t="shared" si="33"/>
        <v>0.54744693826527535</v>
      </c>
      <c r="G30" s="60">
        <f t="shared" si="33"/>
        <v>0.54744693826527535</v>
      </c>
      <c r="H30" s="134"/>
      <c r="I30" s="116"/>
      <c r="J30" s="90"/>
      <c r="L30" s="60">
        <f t="shared" ref="L30:V30" si="40">L94 / SUM(L$51:L$53)</f>
        <v>0.54513293826956566</v>
      </c>
      <c r="M30" s="60">
        <f t="shared" si="40"/>
        <v>0.51085779634599604</v>
      </c>
      <c r="N30" s="60">
        <f t="shared" si="40"/>
        <v>0.57197995172781668</v>
      </c>
      <c r="O30" s="60">
        <f t="shared" si="40"/>
        <v>0.5618170667177228</v>
      </c>
      <c r="P30" s="60">
        <f t="shared" si="40"/>
        <v>0.52378446738105755</v>
      </c>
      <c r="Q30" s="60">
        <f t="shared" si="40"/>
        <v>0.52468701057716116</v>
      </c>
      <c r="R30" s="60">
        <f t="shared" si="40"/>
        <v>0.51769439334533229</v>
      </c>
      <c r="S30" s="60">
        <f t="shared" si="40"/>
        <v>0.49266644702316881</v>
      </c>
      <c r="T30" s="60">
        <f t="shared" si="40"/>
        <v>0.54600231041459102</v>
      </c>
      <c r="U30" s="60">
        <f t="shared" si="40"/>
        <v>0.55010286005112141</v>
      </c>
      <c r="V30" s="60">
        <f t="shared" si="40"/>
        <v>0.5350937720191743</v>
      </c>
      <c r="W30"/>
      <c r="X30"/>
      <c r="Y30"/>
      <c r="AE30"/>
    </row>
    <row r="31" spans="2:31" hidden="1" outlineLevel="2" x14ac:dyDescent="0.3">
      <c r="B31" s="30" t="str">
        <f>B100</f>
        <v>Other intangibles, gross</v>
      </c>
      <c r="D31" s="169">
        <f>$I31 + $H31 * D$8</f>
        <v>358716.87145679677</v>
      </c>
      <c r="E31" s="169">
        <f>$I31 + $H31 * E$8</f>
        <v>357194.58704476687</v>
      </c>
      <c r="F31" s="169">
        <f>$I31 + $H31 * F$8</f>
        <v>355688.8492024329</v>
      </c>
      <c r="G31" s="169">
        <f>$I31 + $H31 * G$8</f>
        <v>352677.37351776497</v>
      </c>
      <c r="H31" s="134">
        <f>SLOPE($L31:$V31, $L$8:$V$8)</f>
        <v>16.54656969597778</v>
      </c>
      <c r="I31" s="116">
        <f>INTERCEPT($L31:$V31, $L$8:$V$8)</f>
        <v>-377092.53635363909</v>
      </c>
      <c r="J31" s="90">
        <f>RSQ($L31:$V31, $L$8:$V$8)</f>
        <v>0.38107350353481095</v>
      </c>
      <c r="L31" s="147">
        <f t="shared" ref="L31:V31" si="41">L100</f>
        <v>340428</v>
      </c>
      <c r="M31" s="147">
        <f t="shared" si="41"/>
        <v>341277</v>
      </c>
      <c r="N31" s="147">
        <f t="shared" si="41"/>
        <v>345605</v>
      </c>
      <c r="O31" s="147">
        <f t="shared" si="41"/>
        <v>354506</v>
      </c>
      <c r="P31" s="147">
        <f t="shared" si="41"/>
        <v>354867</v>
      </c>
      <c r="Q31" s="147">
        <f t="shared" si="41"/>
        <v>351974</v>
      </c>
      <c r="R31" s="147">
        <f t="shared" si="41"/>
        <v>339426</v>
      </c>
      <c r="S31" s="147">
        <f t="shared" si="41"/>
        <v>339112</v>
      </c>
      <c r="T31" s="147">
        <f t="shared" si="41"/>
        <v>338927</v>
      </c>
      <c r="U31" s="147">
        <f t="shared" si="41"/>
        <v>323163</v>
      </c>
      <c r="V31" s="147">
        <f t="shared" si="41"/>
        <v>323105</v>
      </c>
      <c r="W31"/>
      <c r="X31"/>
      <c r="Y31"/>
      <c r="AE31"/>
    </row>
    <row r="32" spans="2:31" customFormat="1" ht="6.9" hidden="1" customHeight="1" outlineLevel="2" x14ac:dyDescent="0.3"/>
    <row r="33" spans="2:31" hidden="1" outlineLevel="2" x14ac:dyDescent="0.3">
      <c r="B33" s="30" t="str">
        <f>B86 &amp; " as % of " &amp; B27</f>
        <v>Less: allowances as % of Accounts receivable, gross as % of Sales</v>
      </c>
      <c r="D33" s="60">
        <f t="shared" ref="D33:F33" si="42">$L33</f>
        <v>0.47833606348750546</v>
      </c>
      <c r="E33" s="60">
        <f t="shared" si="42"/>
        <v>0.47833606348750546</v>
      </c>
      <c r="F33" s="60">
        <f t="shared" si="42"/>
        <v>0.47833606348750546</v>
      </c>
      <c r="G33" s="60">
        <f>$L33</f>
        <v>0.47833606348750546</v>
      </c>
      <c r="H33" s="134"/>
      <c r="I33" s="116"/>
      <c r="J33" s="90"/>
      <c r="L33" s="60">
        <f>L86 / L85</f>
        <v>0.47833606348750546</v>
      </c>
      <c r="M33" s="60">
        <f t="shared" ref="M33:V33" si="43">M86 / M85</f>
        <v>0.46983368021213207</v>
      </c>
      <c r="N33" s="60">
        <f t="shared" si="43"/>
        <v>0.4453712420014061</v>
      </c>
      <c r="O33" s="60">
        <f t="shared" si="43"/>
        <v>0.42493777696837248</v>
      </c>
      <c r="P33" s="60">
        <f t="shared" si="43"/>
        <v>0.40323955063839456</v>
      </c>
      <c r="Q33" s="60">
        <f t="shared" si="43"/>
        <v>0.3852081252081252</v>
      </c>
      <c r="R33" s="60">
        <f t="shared" si="43"/>
        <v>0.36741523293591544</v>
      </c>
      <c r="S33" s="60">
        <f t="shared" si="43"/>
        <v>0.34941559012215484</v>
      </c>
      <c r="T33" s="60">
        <f t="shared" si="43"/>
        <v>0.32660874902273107</v>
      </c>
      <c r="U33" s="60">
        <f t="shared" si="43"/>
        <v>0.30136478572781711</v>
      </c>
      <c r="V33" s="60">
        <f t="shared" si="43"/>
        <v>0.25695006105587009</v>
      </c>
      <c r="W33"/>
      <c r="X33"/>
      <c r="Y33"/>
      <c r="AE33"/>
    </row>
    <row r="34" spans="2:31" hidden="1" outlineLevel="2" x14ac:dyDescent="0.3">
      <c r="B34" s="30" t="str">
        <f>B89 &amp; " as % of " &amp; B28</f>
        <v>Less: accumulated depreciation &amp; allowances &amp; lease merchandise as % of Lease merchandise, gross as % of Sales</v>
      </c>
      <c r="D34" s="60">
        <f t="shared" ref="D34:G34" si="44">AVERAGE($L34:$O34)</f>
        <v>0.41582362967259756</v>
      </c>
      <c r="E34" s="60">
        <f t="shared" si="44"/>
        <v>0.41582362967259756</v>
      </c>
      <c r="F34" s="60">
        <f t="shared" si="44"/>
        <v>0.41582362967259756</v>
      </c>
      <c r="G34" s="60">
        <f t="shared" si="44"/>
        <v>0.41582362967259756</v>
      </c>
      <c r="H34" s="134"/>
      <c r="I34" s="116"/>
      <c r="J34" s="90"/>
      <c r="L34" s="60">
        <f>L89 / L88</f>
        <v>0.43959129065082869</v>
      </c>
      <c r="M34" s="60">
        <f t="shared" ref="M34:V34" si="45">M89 / M88</f>
        <v>0.41546720375031282</v>
      </c>
      <c r="N34" s="60">
        <f t="shared" si="45"/>
        <v>0.41003790493758296</v>
      </c>
      <c r="O34" s="60">
        <f t="shared" si="45"/>
        <v>0.3981981193516656</v>
      </c>
      <c r="P34" s="60">
        <f t="shared" si="45"/>
        <v>0.38312435221860092</v>
      </c>
      <c r="Q34" s="60">
        <f t="shared" si="45"/>
        <v>0.40237927363444437</v>
      </c>
      <c r="R34" s="60">
        <f t="shared" si="45"/>
        <v>0.40468712299916415</v>
      </c>
      <c r="S34" s="60">
        <f t="shared" si="45"/>
        <v>0.39372894698791311</v>
      </c>
      <c r="T34" s="60">
        <f t="shared" si="45"/>
        <v>0.4213330874998068</v>
      </c>
      <c r="U34" s="60">
        <f t="shared" si="45"/>
        <v>0.42804546707065988</v>
      </c>
      <c r="V34" s="60">
        <f t="shared" si="45"/>
        <v>0.42192521909248798</v>
      </c>
      <c r="W34"/>
      <c r="X34"/>
      <c r="Y34"/>
      <c r="AE34"/>
    </row>
    <row r="35" spans="2:31" hidden="1" outlineLevel="2" x14ac:dyDescent="0.3">
      <c r="B35" s="30" t="str">
        <f>B92 &amp; " as % of " &amp; B29</f>
        <v>Less: allowances &amp; unamortized fees as % of Loans receivable, gross as % of Sales</v>
      </c>
      <c r="D35" s="60">
        <f t="shared" ref="D35:F35" si="46">$L35</f>
        <v>0.39006827671235716</v>
      </c>
      <c r="E35" s="60">
        <f t="shared" si="46"/>
        <v>0.39006827671235716</v>
      </c>
      <c r="F35" s="60">
        <f t="shared" si="46"/>
        <v>0.39006827671235716</v>
      </c>
      <c r="G35" s="60">
        <f>$L35</f>
        <v>0.39006827671235716</v>
      </c>
      <c r="H35" s="134"/>
      <c r="I35" s="116"/>
      <c r="J35" s="90"/>
      <c r="L35" s="60">
        <f>L92 / L91</f>
        <v>0.39006827671235716</v>
      </c>
      <c r="M35" s="60">
        <f t="shared" ref="M35:V35" si="47">M92 / M91</f>
        <v>0.38516686273918332</v>
      </c>
      <c r="N35" s="60">
        <f t="shared" si="47"/>
        <v>0.21682953311617806</v>
      </c>
      <c r="O35" s="60">
        <f t="shared" si="47"/>
        <v>0.21307677601466471</v>
      </c>
      <c r="P35" s="60">
        <f t="shared" si="47"/>
        <v>0.20685546896348195</v>
      </c>
      <c r="Q35" s="60">
        <f t="shared" si="47"/>
        <v>0.20829614604462474</v>
      </c>
      <c r="R35" s="60">
        <f t="shared" si="47"/>
        <v>0.19479417173574762</v>
      </c>
      <c r="S35" s="60">
        <f t="shared" si="47"/>
        <v>0.18577673334860148</v>
      </c>
      <c r="T35" s="60">
        <f t="shared" si="47"/>
        <v>0.18101067259481671</v>
      </c>
      <c r="U35" s="60">
        <f t="shared" si="47"/>
        <v>0.16520950263685213</v>
      </c>
      <c r="V35" s="60">
        <f t="shared" si="47"/>
        <v>0.14908539378454586</v>
      </c>
      <c r="W35"/>
      <c r="X35"/>
      <c r="Y35"/>
      <c r="AE35"/>
    </row>
    <row r="36" spans="2:31" customFormat="1" hidden="1" outlineLevel="2" x14ac:dyDescent="0.3">
      <c r="B36" s="30" t="str">
        <f>B95 &amp; " as % of " &amp; B30</f>
        <v>Less: accumulated depreciation as % of Property, plant &amp; equipment at cost, gross as % of Sales</v>
      </c>
      <c r="D36" s="80">
        <f t="shared" ref="D36:G37" si="48">$I36 + $H36 * D$8</f>
        <v>0.60092112309866308</v>
      </c>
      <c r="E36" s="80">
        <f t="shared" si="48"/>
        <v>0.59722906061652914</v>
      </c>
      <c r="F36" s="80">
        <f t="shared" si="48"/>
        <v>0.59357712924833139</v>
      </c>
      <c r="G36" s="80">
        <f t="shared" si="48"/>
        <v>0.5862732665119359</v>
      </c>
      <c r="H36" s="134">
        <f t="shared" ref="H36:H37" si="49">SLOPE($L36:$V36, $L$8:$V$8)</f>
        <v>4.0131113936238908E-5</v>
      </c>
      <c r="I36" s="116">
        <f t="shared" ref="I36:I37" si="50">INTERCEPT($L36:$V36, $L$8:$V$8)</f>
        <v>-1.1836693825319449</v>
      </c>
      <c r="J36" s="90">
        <f t="shared" ref="J36:J37" si="51">RSQ($L36:$V36, $L$8:$V$8)</f>
        <v>0.94604351602123371</v>
      </c>
      <c r="L36" s="60">
        <f>L95 / L94</f>
        <v>0.5886066360284834</v>
      </c>
      <c r="M36" s="60">
        <f t="shared" ref="M36:V36" si="52">M95 / M94</f>
        <v>0.57355781902736502</v>
      </c>
      <c r="N36" s="60">
        <f t="shared" si="52"/>
        <v>0.57461468286359052</v>
      </c>
      <c r="O36" s="60">
        <f t="shared" si="52"/>
        <v>0.56357947481163029</v>
      </c>
      <c r="P36" s="60">
        <f t="shared" si="52"/>
        <v>0.56039599396097683</v>
      </c>
      <c r="Q36" s="60">
        <f t="shared" si="52"/>
        <v>0.55800792303338997</v>
      </c>
      <c r="R36" s="60">
        <f t="shared" si="52"/>
        <v>0.55879180610918078</v>
      </c>
      <c r="S36" s="60">
        <f t="shared" si="52"/>
        <v>0.54818732532734449</v>
      </c>
      <c r="T36" s="60">
        <f t="shared" si="52"/>
        <v>0.54000568679208949</v>
      </c>
      <c r="U36" s="60">
        <f t="shared" si="52"/>
        <v>0.54005999954198824</v>
      </c>
      <c r="V36" s="60">
        <f t="shared" si="52"/>
        <v>0.535031760218876</v>
      </c>
    </row>
    <row r="37" spans="2:31" hidden="1" outlineLevel="2" x14ac:dyDescent="0.3">
      <c r="B37" s="30" t="str">
        <f>B101</f>
        <v>Less: accumulated amortization-other intangibles</v>
      </c>
      <c r="D37" s="80">
        <f t="shared" si="48"/>
        <v>0.56946524163639722</v>
      </c>
      <c r="E37" s="80">
        <f t="shared" si="48"/>
        <v>0.55151956811230818</v>
      </c>
      <c r="F37" s="80">
        <f t="shared" si="48"/>
        <v>0.53376895625696008</v>
      </c>
      <c r="G37" s="80">
        <f t="shared" si="48"/>
        <v>0.49826773254626211</v>
      </c>
      <c r="H37" s="134">
        <f t="shared" si="49"/>
        <v>1.9506166874009326E-4</v>
      </c>
      <c r="I37" s="116">
        <f t="shared" si="50"/>
        <v>-8.1047321055668107</v>
      </c>
      <c r="J37" s="90">
        <f t="shared" si="51"/>
        <v>0.99468224621628587</v>
      </c>
      <c r="L37" s="60">
        <f>L101  /L100</f>
        <v>0.48269825043768433</v>
      </c>
      <c r="M37" s="60">
        <f t="shared" ref="M37:V37" si="53">M101  /M100</f>
        <v>0.46299047401377769</v>
      </c>
      <c r="N37" s="60">
        <f t="shared" si="53"/>
        <v>0.42646663098045456</v>
      </c>
      <c r="O37" s="60">
        <f t="shared" si="53"/>
        <v>0.41590269276119446</v>
      </c>
      <c r="P37" s="60">
        <f t="shared" si="53"/>
        <v>0.38974601752205756</v>
      </c>
      <c r="Q37" s="60">
        <f t="shared" si="53"/>
        <v>0.34405950439521099</v>
      </c>
      <c r="R37" s="60">
        <f t="shared" si="53"/>
        <v>0.33855096545344199</v>
      </c>
      <c r="S37" s="60">
        <f t="shared" si="53"/>
        <v>0.31780650640496355</v>
      </c>
      <c r="T37" s="60">
        <f t="shared" si="53"/>
        <v>0.27705671132721793</v>
      </c>
      <c r="U37" s="60">
        <f t="shared" si="53"/>
        <v>0.27268592010842824</v>
      </c>
      <c r="V37" s="60">
        <f t="shared" si="53"/>
        <v>0.25510283034926728</v>
      </c>
      <c r="W37"/>
      <c r="X37"/>
      <c r="Y37"/>
      <c r="AE37"/>
    </row>
    <row r="38" spans="2:31" customFormat="1" hidden="1" outlineLevel="2" x14ac:dyDescent="0.3"/>
    <row r="39" spans="2:31" hidden="1" outlineLevel="2" x14ac:dyDescent="0.3">
      <c r="B39" s="30" t="str">
        <f>B98</f>
        <v>Operating lease right-of-use assets</v>
      </c>
      <c r="D39" s="169">
        <f>$I39 + $H39 * D$8</f>
        <v>196432.62923890818</v>
      </c>
      <c r="E39" s="169">
        <f>$I39 + $H39 * E$8</f>
        <v>213300.33397547714</v>
      </c>
      <c r="F39" s="169">
        <f>$I39 + $H39 * F$8</f>
        <v>229984.69409534335</v>
      </c>
      <c r="G39" s="169">
        <f>$I39 + $H39 * G$8</f>
        <v>263353.4143350767</v>
      </c>
      <c r="H39" s="154">
        <f>SLOPE($L39:$P39, $L$8:$P$8)</f>
        <v>-183.34461670183163</v>
      </c>
      <c r="I39" s="154">
        <f>INTERCEPT($L39:$P39, $L$8:$P$8)</f>
        <v>8349584.3893526588</v>
      </c>
      <c r="J39" s="90">
        <f>RSQ($L39:$P39, $L$8:$P$8)</f>
        <v>0.97599622777682538</v>
      </c>
      <c r="L39" s="147">
        <f t="shared" ref="L39:V39" si="54">L98</f>
        <v>279802</v>
      </c>
      <c r="M39" s="147">
        <f t="shared" si="54"/>
        <v>299522</v>
      </c>
      <c r="N39" s="147">
        <f t="shared" si="54"/>
        <v>330508</v>
      </c>
      <c r="O39" s="147">
        <f t="shared" si="54"/>
        <v>338805</v>
      </c>
      <c r="P39" s="147">
        <f t="shared" si="54"/>
        <v>370282</v>
      </c>
      <c r="Q39" s="147">
        <f t="shared" si="54"/>
        <v>0</v>
      </c>
      <c r="R39" s="147">
        <f t="shared" si="54"/>
        <v>0</v>
      </c>
      <c r="S39" s="147">
        <f t="shared" si="54"/>
        <v>0</v>
      </c>
      <c r="T39" s="147">
        <f t="shared" si="54"/>
        <v>0</v>
      </c>
      <c r="U39" s="147">
        <f t="shared" si="54"/>
        <v>0</v>
      </c>
      <c r="V39" s="147">
        <f t="shared" si="54"/>
        <v>0</v>
      </c>
      <c r="W39"/>
      <c r="X39"/>
      <c r="Y39"/>
      <c r="AE39"/>
    </row>
    <row r="40" spans="2:31" customFormat="1" hidden="1" outlineLevel="1" collapsed="1" x14ac:dyDescent="0.3">
      <c r="B40" s="30"/>
      <c r="H40" s="133"/>
      <c r="I40" s="115"/>
      <c r="J40" s="98"/>
    </row>
    <row r="41" spans="2:31" hidden="1" outlineLevel="2" x14ac:dyDescent="0.3">
      <c r="B41" s="30" t="str">
        <f>B113 &amp; " as % of sales"</f>
        <v>Accounts payable as % of sales</v>
      </c>
      <c r="D41" s="60">
        <f t="shared" ref="D41:G41" si="55">AVERAGE($L41:$O41)</f>
        <v>5.920214987518517E-2</v>
      </c>
      <c r="E41" s="60">
        <f t="shared" si="55"/>
        <v>5.920214987518517E-2</v>
      </c>
      <c r="F41" s="60">
        <f t="shared" si="55"/>
        <v>5.920214987518517E-2</v>
      </c>
      <c r="G41" s="60">
        <f t="shared" si="55"/>
        <v>5.920214987518517E-2</v>
      </c>
      <c r="H41" s="134"/>
      <c r="I41" s="116"/>
      <c r="J41" s="90"/>
      <c r="L41" s="60">
        <f t="shared" ref="L41:V41" si="56">L113 / SUM(L$51:L$53)</f>
        <v>5.5729751998670668E-2</v>
      </c>
      <c r="M41" s="60">
        <f t="shared" si="56"/>
        <v>4.4427228877883224E-2</v>
      </c>
      <c r="N41" s="60">
        <f t="shared" si="56"/>
        <v>7.6253149046967672E-2</v>
      </c>
      <c r="O41" s="60">
        <f t="shared" si="56"/>
        <v>6.039846957721913E-2</v>
      </c>
      <c r="P41" s="60">
        <f t="shared" si="56"/>
        <v>7.218795368364711E-2</v>
      </c>
      <c r="Q41" s="60">
        <f t="shared" si="56"/>
        <v>0.10554649738063308</v>
      </c>
      <c r="R41" s="60">
        <f t="shared" si="56"/>
        <v>6.8764752684588565E-2</v>
      </c>
      <c r="S41" s="60">
        <f t="shared" si="56"/>
        <v>7.3425676611079696E-2</v>
      </c>
      <c r="T41" s="60">
        <f t="shared" si="56"/>
        <v>0</v>
      </c>
      <c r="U41" s="60">
        <f t="shared" si="56"/>
        <v>0</v>
      </c>
      <c r="V41" s="60">
        <f t="shared" si="56"/>
        <v>0</v>
      </c>
      <c r="W41"/>
      <c r="X41"/>
      <c r="Y41"/>
    </row>
    <row r="42" spans="2:31" hidden="1" outlineLevel="2" x14ac:dyDescent="0.3">
      <c r="B42" s="30" t="s">
        <v>307</v>
      </c>
      <c r="D42" s="155">
        <f t="shared" ref="D42:G42" si="57">$I42 + $H42 * D$8</f>
        <v>302444.5140519687</v>
      </c>
      <c r="E42" s="155">
        <f t="shared" si="57"/>
        <v>299709.47965650167</v>
      </c>
      <c r="F42" s="155">
        <f t="shared" si="57"/>
        <v>297004.17389576789</v>
      </c>
      <c r="G42" s="155">
        <f t="shared" si="57"/>
        <v>291593.56237430032</v>
      </c>
      <c r="H42" s="154">
        <f t="shared" ref="H42" si="58">SLOPE($L42:$V42, $L$8:$V$8)</f>
        <v>29.728634733338083</v>
      </c>
      <c r="I42" s="154">
        <f t="shared" ref="I42" si="59">INTERCEPT($L42:$V42, $L$8:$V$8)</f>
        <v>-1019558.1439048424</v>
      </c>
      <c r="J42" s="90">
        <f t="shared" ref="J42" si="60">RSQ($L42:$V42, $L$8:$V$8)</f>
        <v>0.95086800275047778</v>
      </c>
      <c r="L42" s="147">
        <f t="shared" ref="L42:V42" si="61">L129</f>
        <v>290653</v>
      </c>
      <c r="M42" s="147">
        <f t="shared" si="61"/>
        <v>283467</v>
      </c>
      <c r="N42" s="147">
        <f t="shared" si="61"/>
        <v>283454</v>
      </c>
      <c r="O42" s="147">
        <f t="shared" si="61"/>
        <v>277533</v>
      </c>
      <c r="P42" s="147">
        <f t="shared" si="61"/>
        <v>270727</v>
      </c>
      <c r="Q42" s="147">
        <f t="shared" si="61"/>
        <v>272269</v>
      </c>
      <c r="R42" s="147">
        <f t="shared" si="61"/>
        <v>266275</v>
      </c>
      <c r="S42" s="147">
        <f t="shared" si="61"/>
        <v>265303</v>
      </c>
      <c r="T42" s="147">
        <f t="shared" si="61"/>
        <v>263190</v>
      </c>
      <c r="U42" s="147">
        <f t="shared" si="61"/>
        <v>256032</v>
      </c>
      <c r="V42" s="147">
        <f t="shared" si="61"/>
        <v>250340</v>
      </c>
      <c r="W42"/>
      <c r="X42"/>
      <c r="Y42"/>
    </row>
    <row r="43" spans="2:31" hidden="1" outlineLevel="2" x14ac:dyDescent="0.3">
      <c r="B43" s="30" t="str">
        <f>B124 &amp; " Trends"</f>
        <v>Operating lease liabilities Trends</v>
      </c>
      <c r="D43" s="155">
        <f t="shared" ref="D43:G44" si="62">$I43 + $H43 * D$8</f>
        <v>273748.80339863244</v>
      </c>
      <c r="E43" s="155">
        <f t="shared" si="62"/>
        <v>286785.70361073408</v>
      </c>
      <c r="F43" s="155">
        <f t="shared" si="62"/>
        <v>299680.89838574734</v>
      </c>
      <c r="G43" s="155">
        <f t="shared" si="62"/>
        <v>325471.28793577477</v>
      </c>
      <c r="H43" s="154">
        <f>SLOPE($L43:$P43, $L$8:$P$8)</f>
        <v>-141.7054370880625</v>
      </c>
      <c r="I43" s="154">
        <f>INTERCEPT($L43:$P43, $L$8:$P$8)</f>
        <v>6575247.8852676833</v>
      </c>
      <c r="J43" s="90">
        <f>RSQ($L43:$P43, $L$8:$P$8)</f>
        <v>0.97568697396892534</v>
      </c>
      <c r="L43" s="147">
        <f>L124</f>
        <v>335705</v>
      </c>
      <c r="M43" s="147">
        <f t="shared" ref="M43:V43" si="63">M124</f>
        <v>357191</v>
      </c>
      <c r="N43" s="147">
        <f t="shared" si="63"/>
        <v>374443</v>
      </c>
      <c r="O43" s="147">
        <f t="shared" si="63"/>
        <v>386989</v>
      </c>
      <c r="P43" s="147">
        <f t="shared" si="63"/>
        <v>406559</v>
      </c>
      <c r="Q43" s="147">
        <f t="shared" si="63"/>
        <v>0</v>
      </c>
      <c r="R43" s="147">
        <f t="shared" si="63"/>
        <v>0</v>
      </c>
      <c r="S43" s="147">
        <f t="shared" si="63"/>
        <v>0</v>
      </c>
      <c r="T43" s="147">
        <f t="shared" si="63"/>
        <v>0</v>
      </c>
      <c r="U43" s="147">
        <f t="shared" si="63"/>
        <v>0</v>
      </c>
      <c r="V43" s="147">
        <f t="shared" si="63"/>
        <v>0</v>
      </c>
      <c r="W43"/>
      <c r="X43"/>
      <c r="Y43"/>
    </row>
    <row r="44" spans="2:31" hidden="1" outlineLevel="2" x14ac:dyDescent="0.3">
      <c r="B44" s="30" t="str">
        <f>B125 &amp; " Trends"</f>
        <v>Debt Trends</v>
      </c>
      <c r="D44" s="155">
        <f t="shared" si="62"/>
        <v>41603.870477940887</v>
      </c>
      <c r="E44" s="155">
        <f t="shared" si="62"/>
        <v>43688.018762226682</v>
      </c>
      <c r="F44" s="155">
        <f t="shared" si="62"/>
        <v>45749.513260813896</v>
      </c>
      <c r="G44" s="155">
        <f t="shared" si="62"/>
        <v>49872.50225798809</v>
      </c>
      <c r="H44" s="154">
        <f>SLOPE($L44:$S44, $L$8:$S$8)</f>
        <v>-22.65378569875973</v>
      </c>
      <c r="I44" s="154">
        <f>INTERCEPT($L44:$S44, $L$8:$S$8)</f>
        <v>1048995.0667160873</v>
      </c>
      <c r="J44" s="90">
        <f>RSQ($L44:$S44, $L$8:$S$8)</f>
        <v>0.92334635113191921</v>
      </c>
      <c r="L44" s="147">
        <f>L118</f>
        <v>50158</v>
      </c>
      <c r="M44" s="147">
        <f t="shared" ref="M44:V44" si="64">M118</f>
        <v>55913</v>
      </c>
      <c r="N44" s="147">
        <f t="shared" si="64"/>
        <v>58783</v>
      </c>
      <c r="O44" s="147">
        <f t="shared" si="64"/>
        <v>61250</v>
      </c>
      <c r="P44" s="147">
        <f t="shared" si="64"/>
        <v>59266</v>
      </c>
      <c r="Q44" s="147">
        <f t="shared" si="64"/>
        <v>69181</v>
      </c>
      <c r="R44" s="147">
        <f t="shared" si="64"/>
        <v>67472</v>
      </c>
      <c r="S44" s="147">
        <f t="shared" si="64"/>
        <v>70200</v>
      </c>
      <c r="T44" s="147">
        <f t="shared" si="64"/>
        <v>0</v>
      </c>
      <c r="U44" s="147">
        <f t="shared" si="64"/>
        <v>0</v>
      </c>
      <c r="V44" s="147">
        <f t="shared" si="64"/>
        <v>0</v>
      </c>
      <c r="W44"/>
      <c r="X44"/>
      <c r="Y44"/>
    </row>
    <row r="45" spans="2:31" hidden="1" outlineLevel="2" x14ac:dyDescent="0.3">
      <c r="B45" s="89" t="s">
        <v>308</v>
      </c>
      <c r="D45" s="60">
        <f t="shared" ref="D45:F45" si="65">$L45</f>
        <v>0.2893107823753443</v>
      </c>
      <c r="E45" s="60">
        <f t="shared" si="65"/>
        <v>0.2893107823753443</v>
      </c>
      <c r="F45" s="60">
        <f t="shared" si="65"/>
        <v>0.2893107823753443</v>
      </c>
      <c r="G45" s="60">
        <f>$L45</f>
        <v>0.2893107823753443</v>
      </c>
      <c r="H45" s="154"/>
      <c r="I45" s="154"/>
      <c r="J45" s="90"/>
      <c r="L45" s="60">
        <f>L134 / L133</f>
        <v>0.2893107823753443</v>
      </c>
      <c r="M45" s="60">
        <f t="shared" ref="M45:V45" si="66">M134 / M133</f>
        <v>0.30022740212541899</v>
      </c>
      <c r="N45" s="60">
        <f t="shared" si="66"/>
        <v>0.24320102437966881</v>
      </c>
      <c r="O45" s="60">
        <f t="shared" si="66"/>
        <v>0.2372261554558168</v>
      </c>
      <c r="P45" s="60">
        <f t="shared" si="66"/>
        <v>0.23708936679327799</v>
      </c>
      <c r="Q45" s="60">
        <f t="shared" si="66"/>
        <v>0.22096249823838426</v>
      </c>
      <c r="R45" s="60">
        <f t="shared" si="66"/>
        <v>0.21253072361965986</v>
      </c>
      <c r="S45" s="60">
        <f t="shared" si="66"/>
        <v>0.19404281457316952</v>
      </c>
      <c r="T45" s="60">
        <f t="shared" si="66"/>
        <v>0.19440146876944467</v>
      </c>
      <c r="U45" s="60">
        <f t="shared" si="66"/>
        <v>0.19779093428734504</v>
      </c>
      <c r="V45" s="60">
        <f t="shared" si="66"/>
        <v>0.202748887047771</v>
      </c>
      <c r="W45"/>
      <c r="X45"/>
      <c r="Y45"/>
    </row>
    <row r="46" spans="2:31" hidden="1" outlineLevel="1" collapsed="1" x14ac:dyDescent="0.3"/>
    <row r="47" spans="2:31" s="43" customFormat="1" ht="15.9" customHeight="1" collapsed="1" x14ac:dyDescent="0.3">
      <c r="B47" s="40" t="s">
        <v>193</v>
      </c>
      <c r="C47" s="41"/>
      <c r="D47" s="42" t="s">
        <v>194</v>
      </c>
      <c r="E47" s="42"/>
      <c r="F47" s="42"/>
      <c r="G47" s="42"/>
      <c r="H47" s="42"/>
      <c r="I47" s="42"/>
      <c r="J47" s="42"/>
      <c r="K47" s="41"/>
      <c r="L47" s="42" t="s">
        <v>195</v>
      </c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2:31" s="48" customFormat="1" ht="15.9" customHeight="1" x14ac:dyDescent="0.3">
      <c r="B48" s="44" t="s">
        <v>196</v>
      </c>
      <c r="C48" s="45"/>
      <c r="D48" s="46">
        <f>EDATE(G48, 12)</f>
        <v>44469</v>
      </c>
      <c r="E48" s="46">
        <f t="shared" ref="E48:F48" si="67">EDATE(L48, 12)</f>
        <v>44377</v>
      </c>
      <c r="F48" s="46">
        <f t="shared" si="67"/>
        <v>44286</v>
      </c>
      <c r="G48" s="46">
        <f>EDATE(N48, 12)</f>
        <v>44104</v>
      </c>
      <c r="H48" s="46"/>
      <c r="I48" s="46"/>
      <c r="J48" s="46"/>
      <c r="K48" s="45"/>
      <c r="L48" s="46">
        <v>44012</v>
      </c>
      <c r="M48" s="46">
        <v>43921</v>
      </c>
      <c r="N48" s="46">
        <v>43738</v>
      </c>
      <c r="O48" s="46">
        <v>43646</v>
      </c>
      <c r="P48" s="46">
        <v>43555</v>
      </c>
      <c r="Q48" s="46">
        <v>43373</v>
      </c>
      <c r="R48" s="46">
        <v>43281</v>
      </c>
      <c r="S48" s="46">
        <v>43190</v>
      </c>
      <c r="T48" s="46">
        <v>43008</v>
      </c>
      <c r="U48" s="46">
        <v>42916</v>
      </c>
      <c r="V48" s="46">
        <v>42825</v>
      </c>
      <c r="W48" s="46">
        <v>42643</v>
      </c>
      <c r="X48" s="46">
        <v>42551</v>
      </c>
      <c r="Y48" s="46">
        <v>42460</v>
      </c>
    </row>
    <row r="49" spans="2:25" s="48" customFormat="1" ht="15.9" customHeight="1" x14ac:dyDescent="0.3">
      <c r="B49" s="68" t="s">
        <v>197</v>
      </c>
      <c r="C49" s="45"/>
      <c r="D49" s="69" t="str">
        <f>G49</f>
        <v>3rd Quarter</v>
      </c>
      <c r="E49" s="69" t="str">
        <f t="shared" ref="E49:F49" si="68">L49</f>
        <v>2nd Quarter</v>
      </c>
      <c r="F49" s="69" t="str">
        <f t="shared" si="68"/>
        <v>1st Quarter</v>
      </c>
      <c r="G49" s="69" t="str">
        <f>N49</f>
        <v>3rd Quarter</v>
      </c>
      <c r="H49" s="69"/>
      <c r="I49" s="69"/>
      <c r="J49" s="69"/>
      <c r="K49" s="45"/>
      <c r="L49" s="70" t="s">
        <v>198</v>
      </c>
      <c r="M49" s="70" t="s">
        <v>199</v>
      </c>
      <c r="N49" s="70" t="s">
        <v>200</v>
      </c>
      <c r="O49" s="70" t="s">
        <v>198</v>
      </c>
      <c r="P49" s="70" t="s">
        <v>199</v>
      </c>
      <c r="Q49" s="70" t="s">
        <v>200</v>
      </c>
      <c r="R49" s="70" t="s">
        <v>198</v>
      </c>
      <c r="S49" s="70" t="s">
        <v>199</v>
      </c>
      <c r="T49" s="70" t="s">
        <v>200</v>
      </c>
      <c r="U49" s="70" t="s">
        <v>198</v>
      </c>
      <c r="V49" s="70" t="s">
        <v>199</v>
      </c>
      <c r="W49" s="70" t="s">
        <v>200</v>
      </c>
      <c r="X49" s="70" t="s">
        <v>198</v>
      </c>
      <c r="Y49" s="70" t="s">
        <v>199</v>
      </c>
    </row>
    <row r="50" spans="2:25" s="64" customFormat="1" x14ac:dyDescent="0.3">
      <c r="B50" s="56" t="s">
        <v>201</v>
      </c>
      <c r="C50" s="3"/>
      <c r="D50" s="57"/>
      <c r="E50" s="57"/>
      <c r="F50" s="57"/>
      <c r="G50" s="57"/>
      <c r="H50" s="57"/>
      <c r="I50" s="57"/>
      <c r="J50" s="57"/>
      <c r="K50" s="3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 spans="2:25" x14ac:dyDescent="0.3">
      <c r="B51" s="89" t="s">
        <v>309</v>
      </c>
      <c r="D51" s="32">
        <f>G51 * (1 + D9)</f>
        <v>1038619.6749795072</v>
      </c>
      <c r="E51" s="32">
        <f t="shared" ref="E51:G53" si="69">L51 * (1 + E9)</f>
        <v>1038111.9204085865</v>
      </c>
      <c r="F51" s="32">
        <f t="shared" si="69"/>
        <v>1121510.8829820638</v>
      </c>
      <c r="G51" s="32">
        <f t="shared" si="69"/>
        <v>970461.43375160336</v>
      </c>
      <c r="L51" s="32">
        <v>969987</v>
      </c>
      <c r="M51" s="32">
        <v>1047913</v>
      </c>
      <c r="N51" s="32">
        <v>906776</v>
      </c>
      <c r="O51" s="32">
        <v>907565</v>
      </c>
      <c r="P51" s="32">
        <v>944157</v>
      </c>
      <c r="Q51" s="32">
        <v>880871</v>
      </c>
      <c r="R51" s="32">
        <v>845938</v>
      </c>
      <c r="S51" s="32">
        <v>870067</v>
      </c>
      <c r="T51" s="32">
        <v>755318</v>
      </c>
      <c r="U51" s="32">
        <v>718089</v>
      </c>
      <c r="V51" s="32">
        <v>743622</v>
      </c>
      <c r="W51" s="32">
        <v>673869</v>
      </c>
      <c r="X51" s="32">
        <v>688677</v>
      </c>
      <c r="Y51" s="32">
        <v>741611</v>
      </c>
    </row>
    <row r="52" spans="2:25" x14ac:dyDescent="0.3">
      <c r="B52" s="89" t="s">
        <v>310</v>
      </c>
      <c r="D52" s="32">
        <f>G52 * (1 + D10)</f>
        <v>12917.550130838918</v>
      </c>
      <c r="E52" s="32">
        <f t="shared" si="69"/>
        <v>16934.342243673309</v>
      </c>
      <c r="F52" s="32">
        <f t="shared" si="69"/>
        <v>11512.212262799594</v>
      </c>
      <c r="G52" s="32">
        <f t="shared" si="69"/>
        <v>10694.484038907523</v>
      </c>
      <c r="L52" s="32">
        <v>14020</v>
      </c>
      <c r="M52" s="32">
        <v>9531</v>
      </c>
      <c r="N52" s="32">
        <v>8854</v>
      </c>
      <c r="O52" s="32">
        <v>8898</v>
      </c>
      <c r="P52" s="32">
        <v>12809</v>
      </c>
      <c r="Q52" s="32">
        <v>7620</v>
      </c>
      <c r="R52" s="32">
        <v>6592</v>
      </c>
      <c r="S52" s="32">
        <v>8516</v>
      </c>
      <c r="T52" s="32">
        <v>6274</v>
      </c>
      <c r="U52" s="32">
        <v>6106</v>
      </c>
      <c r="V52" s="32">
        <v>8778</v>
      </c>
      <c r="W52" s="32">
        <v>6131</v>
      </c>
      <c r="X52" s="32">
        <v>6460</v>
      </c>
      <c r="Y52" s="32">
        <v>10955</v>
      </c>
    </row>
    <row r="53" spans="2:25" x14ac:dyDescent="0.3">
      <c r="B53" s="89" t="s">
        <v>311</v>
      </c>
      <c r="D53" s="32">
        <f>G53 * (1 + D11)</f>
        <v>17846.501822851747</v>
      </c>
      <c r="E53" s="32">
        <f t="shared" si="69"/>
        <v>25037.659444369001</v>
      </c>
      <c r="F53" s="32">
        <f t="shared" si="69"/>
        <v>20341.393458525912</v>
      </c>
      <c r="G53" s="32">
        <f t="shared" si="69"/>
        <v>23553.312063557994</v>
      </c>
      <c r="L53" s="32">
        <v>33044</v>
      </c>
      <c r="M53" s="32">
        <v>26846</v>
      </c>
      <c r="N53" s="32">
        <v>31085</v>
      </c>
      <c r="O53" s="32">
        <v>34124</v>
      </c>
      <c r="P53" s="32">
        <v>36981</v>
      </c>
      <c r="Q53" s="32">
        <v>44368</v>
      </c>
      <c r="R53" s="32">
        <v>53661</v>
      </c>
      <c r="S53" s="32">
        <v>53230</v>
      </c>
      <c r="T53" s="32">
        <v>56443</v>
      </c>
      <c r="U53" s="32">
        <v>69602</v>
      </c>
      <c r="V53" s="32">
        <v>69327</v>
      </c>
      <c r="W53" s="32">
        <v>67349</v>
      </c>
      <c r="X53" s="32">
        <v>72610</v>
      </c>
      <c r="Y53" s="32">
        <v>79305</v>
      </c>
    </row>
    <row r="54" spans="2:25" x14ac:dyDescent="0.3">
      <c r="B54" s="89" t="s">
        <v>312</v>
      </c>
      <c r="D54" s="32">
        <f t="shared" ref="D54:G55" si="70">D12 * SUM(D$51:D$53)</f>
        <v>41.144681265844739</v>
      </c>
      <c r="E54" s="32">
        <f t="shared" si="70"/>
        <v>1070.2975914819508</v>
      </c>
      <c r="F54" s="32">
        <f t="shared" si="70"/>
        <v>2229.5118814927137</v>
      </c>
      <c r="G54" s="32">
        <f t="shared" si="70"/>
        <v>3835.2495508242805</v>
      </c>
      <c r="L54" s="32">
        <v>3365</v>
      </c>
      <c r="M54" s="32">
        <v>6724</v>
      </c>
      <c r="N54" s="32">
        <v>8087</v>
      </c>
      <c r="O54" s="32">
        <v>8605</v>
      </c>
      <c r="P54" s="32">
        <v>9207</v>
      </c>
      <c r="Q54" s="32">
        <v>10153</v>
      </c>
      <c r="R54" s="32">
        <v>12125</v>
      </c>
      <c r="S54" s="32">
        <v>12862</v>
      </c>
      <c r="T54" s="32">
        <v>11140</v>
      </c>
      <c r="U54" s="32">
        <v>12824</v>
      </c>
      <c r="V54" s="32">
        <v>14201</v>
      </c>
      <c r="W54" s="32">
        <v>13898</v>
      </c>
      <c r="X54" s="32">
        <v>14772</v>
      </c>
      <c r="Y54" s="32">
        <v>16295</v>
      </c>
    </row>
    <row r="55" spans="2:25" x14ac:dyDescent="0.3">
      <c r="B55" s="89" t="s">
        <v>313</v>
      </c>
      <c r="D55" s="32">
        <f t="shared" si="70"/>
        <v>-8782.6448645644359</v>
      </c>
      <c r="E55" s="32">
        <f t="shared" si="70"/>
        <v>-9016.9431946319164</v>
      </c>
      <c r="F55" s="32">
        <f t="shared" si="70"/>
        <v>-9783.3709983547778</v>
      </c>
      <c r="G55" s="32">
        <f t="shared" si="70"/>
        <v>-8791.8506951110467</v>
      </c>
      <c r="L55" s="32">
        <v>-9414</v>
      </c>
      <c r="M55" s="32">
        <v>-9908</v>
      </c>
      <c r="N55" s="32">
        <v>-8687</v>
      </c>
      <c r="O55" s="32">
        <v>-8610</v>
      </c>
      <c r="P55" s="32">
        <v>-8646</v>
      </c>
      <c r="Q55" s="32">
        <v>-9508</v>
      </c>
      <c r="R55" s="32">
        <v>-9208</v>
      </c>
      <c r="S55" s="32">
        <v>-9542</v>
      </c>
      <c r="T55" s="32">
        <v>-8936</v>
      </c>
      <c r="U55" s="32">
        <v>-8532</v>
      </c>
      <c r="V55" s="32">
        <v>-8201</v>
      </c>
      <c r="W55" s="32">
        <v>-6480</v>
      </c>
      <c r="X55" s="32">
        <v>-5302</v>
      </c>
      <c r="Y55" s="32">
        <v>-4763</v>
      </c>
    </row>
    <row r="56" spans="2:25" x14ac:dyDescent="0.3">
      <c r="B56" s="89" t="s">
        <v>314</v>
      </c>
      <c r="D56" s="32">
        <f>ROUND(AVERAGE($L56:$M56), -2)</f>
        <v>300</v>
      </c>
      <c r="E56" s="32">
        <f t="shared" ref="E56:G56" si="71">ROUND(AVERAGE($L56:$M56), -2)</f>
        <v>300</v>
      </c>
      <c r="F56" s="32">
        <f t="shared" si="71"/>
        <v>300</v>
      </c>
      <c r="G56" s="32">
        <f t="shared" si="71"/>
        <v>300</v>
      </c>
      <c r="L56" s="32">
        <v>289</v>
      </c>
      <c r="M56" s="32">
        <v>352</v>
      </c>
      <c r="N56" s="32">
        <v>319</v>
      </c>
      <c r="O56" s="32">
        <v>339</v>
      </c>
      <c r="P56" s="32">
        <v>303</v>
      </c>
      <c r="Q56" s="32">
        <v>551</v>
      </c>
      <c r="R56" s="32">
        <v>335</v>
      </c>
      <c r="S56" s="32">
        <v>592</v>
      </c>
      <c r="T56" s="32">
        <v>772</v>
      </c>
      <c r="U56" s="32">
        <v>491</v>
      </c>
      <c r="V56" s="32">
        <v>425</v>
      </c>
      <c r="W56" s="32">
        <v>1255</v>
      </c>
      <c r="X56" s="32">
        <v>1532</v>
      </c>
      <c r="Y56" s="32">
        <v>1498</v>
      </c>
    </row>
    <row r="57" spans="2:25" s="39" customFormat="1" x14ac:dyDescent="0.3">
      <c r="B57" s="76" t="s">
        <v>315</v>
      </c>
      <c r="C57" s="25"/>
      <c r="D57" s="77">
        <f t="shared" ref="D57:G57" si="72">SUM(D51:D54,D56,-D55)</f>
        <v>1078507.5164790284</v>
      </c>
      <c r="E57" s="77">
        <f t="shared" si="72"/>
        <v>1090471.1628827427</v>
      </c>
      <c r="F57" s="77">
        <f t="shared" si="72"/>
        <v>1165677.3715832368</v>
      </c>
      <c r="G57" s="77">
        <f t="shared" si="72"/>
        <v>1017636.3301000043</v>
      </c>
      <c r="H57" s="77"/>
      <c r="I57" s="77"/>
      <c r="J57" s="77"/>
      <c r="K57" s="25"/>
      <c r="L57" s="77">
        <f>SUM(L51:L54,L56,-L55)</f>
        <v>1030119</v>
      </c>
      <c r="M57" s="77">
        <f t="shared" ref="M57:Y57" si="73">SUM(M51:M54,M56,-M55)</f>
        <v>1101274</v>
      </c>
      <c r="N57" s="77">
        <f t="shared" si="73"/>
        <v>963808</v>
      </c>
      <c r="O57" s="77">
        <f t="shared" si="73"/>
        <v>968141</v>
      </c>
      <c r="P57" s="77">
        <f t="shared" si="73"/>
        <v>1012103</v>
      </c>
      <c r="Q57" s="77">
        <f t="shared" si="73"/>
        <v>953071</v>
      </c>
      <c r="R57" s="77">
        <f t="shared" si="73"/>
        <v>927859</v>
      </c>
      <c r="S57" s="77">
        <f t="shared" si="73"/>
        <v>954809</v>
      </c>
      <c r="T57" s="77">
        <f t="shared" si="73"/>
        <v>838883</v>
      </c>
      <c r="U57" s="77">
        <f t="shared" si="73"/>
        <v>815644</v>
      </c>
      <c r="V57" s="77">
        <f t="shared" si="73"/>
        <v>844554</v>
      </c>
      <c r="W57" s="77">
        <f t="shared" si="73"/>
        <v>768982</v>
      </c>
      <c r="X57" s="77">
        <f t="shared" si="73"/>
        <v>789353</v>
      </c>
      <c r="Y57" s="77">
        <f t="shared" si="73"/>
        <v>854427</v>
      </c>
    </row>
    <row r="58" spans="2:25" x14ac:dyDescent="0.3">
      <c r="B58" s="89" t="s">
        <v>316</v>
      </c>
      <c r="D58" s="32">
        <f>ROUND(D14 * SUM(D$51:D$53), -2)</f>
        <v>626900</v>
      </c>
      <c r="E58" s="32">
        <f t="shared" ref="E58:G58" si="74">ROUND(E14 * SUM(E$51:E$53), -2)</f>
        <v>623600</v>
      </c>
      <c r="F58" s="32">
        <f t="shared" si="74"/>
        <v>655900</v>
      </c>
      <c r="G58" s="32">
        <f t="shared" si="74"/>
        <v>553900</v>
      </c>
      <c r="L58" s="32">
        <v>547551</v>
      </c>
      <c r="M58" s="32">
        <v>597407</v>
      </c>
      <c r="N58" s="32">
        <v>489199</v>
      </c>
      <c r="O58" s="32">
        <v>474868</v>
      </c>
      <c r="P58" s="32">
        <v>500820</v>
      </c>
      <c r="Q58" s="32">
        <v>434593</v>
      </c>
      <c r="R58" s="32">
        <v>415414</v>
      </c>
      <c r="S58" s="32">
        <v>440008</v>
      </c>
      <c r="T58" s="32">
        <v>365576</v>
      </c>
      <c r="U58" s="32">
        <v>345398</v>
      </c>
      <c r="V58" s="32">
        <v>361998</v>
      </c>
      <c r="W58" s="32">
        <v>317127</v>
      </c>
      <c r="X58" s="32">
        <v>321969</v>
      </c>
      <c r="Y58" s="32">
        <v>348302</v>
      </c>
    </row>
    <row r="59" spans="2:25" x14ac:dyDescent="0.3">
      <c r="B59" s="89" t="s">
        <v>317</v>
      </c>
      <c r="D59" s="32">
        <f>ROUND(D16 * D52, -2)</f>
        <v>8600</v>
      </c>
      <c r="E59" s="32">
        <f t="shared" ref="E59:G59" si="75">ROUND(E16 * E52, -2)</f>
        <v>11200</v>
      </c>
      <c r="F59" s="32">
        <f t="shared" si="75"/>
        <v>7600</v>
      </c>
      <c r="G59" s="32">
        <f t="shared" si="75"/>
        <v>7100</v>
      </c>
      <c r="L59" s="32">
        <v>9065</v>
      </c>
      <c r="M59" s="32">
        <v>6862</v>
      </c>
      <c r="N59" s="32">
        <v>5742</v>
      </c>
      <c r="O59" s="32">
        <v>5651</v>
      </c>
      <c r="P59" s="32">
        <v>8632</v>
      </c>
      <c r="Q59" s="32">
        <v>4877</v>
      </c>
      <c r="R59" s="32">
        <v>4156</v>
      </c>
      <c r="S59" s="32">
        <v>5662</v>
      </c>
      <c r="T59" s="32">
        <v>4380</v>
      </c>
      <c r="U59" s="32">
        <v>3940</v>
      </c>
      <c r="V59" s="32">
        <v>5391</v>
      </c>
      <c r="W59" s="32">
        <v>4093</v>
      </c>
      <c r="X59" s="32">
        <v>3892</v>
      </c>
      <c r="Y59" s="32">
        <v>7065</v>
      </c>
    </row>
    <row r="60" spans="2:25" x14ac:dyDescent="0.3">
      <c r="B60" s="89" t="s">
        <v>318</v>
      </c>
      <c r="D60" s="32">
        <f t="shared" ref="D60:G60" si="76">ROUND(D17 * D53, -2)</f>
        <v>15200</v>
      </c>
      <c r="E60" s="32">
        <f t="shared" si="76"/>
        <v>21400</v>
      </c>
      <c r="F60" s="32">
        <f t="shared" si="76"/>
        <v>17400</v>
      </c>
      <c r="G60" s="32">
        <f t="shared" si="76"/>
        <v>20100</v>
      </c>
      <c r="L60" s="32">
        <v>29316</v>
      </c>
      <c r="M60" s="32">
        <v>23581</v>
      </c>
      <c r="N60" s="32">
        <v>24913</v>
      </c>
      <c r="O60" s="32">
        <v>28948</v>
      </c>
      <c r="P60" s="32">
        <v>29196</v>
      </c>
      <c r="Q60" s="32">
        <v>35214</v>
      </c>
      <c r="R60" s="32">
        <v>47068</v>
      </c>
      <c r="S60" s="32">
        <v>48020</v>
      </c>
      <c r="T60" s="32">
        <v>50750</v>
      </c>
      <c r="U60" s="32">
        <v>61818</v>
      </c>
      <c r="V60" s="32">
        <v>62085</v>
      </c>
      <c r="W60" s="32">
        <v>60316</v>
      </c>
      <c r="X60" s="32">
        <v>63984</v>
      </c>
      <c r="Y60" s="32">
        <v>71385</v>
      </c>
    </row>
    <row r="61" spans="2:25" x14ac:dyDescent="0.3">
      <c r="B61" s="89" t="s">
        <v>319</v>
      </c>
      <c r="D61" s="32">
        <f>D18</f>
        <v>26689.5</v>
      </c>
      <c r="E61" s="32">
        <f t="shared" ref="E61:G61" si="77">E18</f>
        <v>26689.5</v>
      </c>
      <c r="F61" s="32">
        <f t="shared" si="77"/>
        <v>26689.5</v>
      </c>
      <c r="G61" s="32">
        <f t="shared" si="77"/>
        <v>26689.5</v>
      </c>
      <c r="L61" s="32">
        <v>343850</v>
      </c>
      <c r="M61" s="32">
        <v>412970</v>
      </c>
      <c r="N61" s="32">
        <v>383264</v>
      </c>
      <c r="O61" s="32">
        <v>383576</v>
      </c>
      <c r="P61" s="32">
        <v>387216</v>
      </c>
      <c r="Q61" s="32">
        <v>420602</v>
      </c>
      <c r="R61" s="32">
        <v>388337</v>
      </c>
      <c r="S61" s="32">
        <v>390232</v>
      </c>
      <c r="T61" s="32">
        <v>374157</v>
      </c>
      <c r="U61" s="32">
        <v>330548</v>
      </c>
      <c r="V61" s="32">
        <v>328825</v>
      </c>
      <c r="W61" s="32">
        <v>331977</v>
      </c>
      <c r="X61" s="32">
        <v>330601</v>
      </c>
      <c r="Y61" s="32">
        <v>348424</v>
      </c>
    </row>
    <row r="62" spans="2:25" x14ac:dyDescent="0.3">
      <c r="B62" s="89" t="s">
        <v>320</v>
      </c>
      <c r="D62" s="32">
        <f>ROUND(AVERAGE($L62:$P62), -2)</f>
        <v>13400</v>
      </c>
      <c r="E62" s="32">
        <f t="shared" ref="E62:G62" si="78">ROUND(AVERAGE($L62:$P62), -2)</f>
        <v>13400</v>
      </c>
      <c r="F62" s="32">
        <f t="shared" si="78"/>
        <v>13400</v>
      </c>
      <c r="G62" s="32">
        <f t="shared" si="78"/>
        <v>13400</v>
      </c>
      <c r="L62" s="32">
        <v>6991</v>
      </c>
      <c r="M62" s="32">
        <v>22286</v>
      </c>
      <c r="N62" s="32">
        <v>5516</v>
      </c>
      <c r="O62" s="32">
        <v>18738</v>
      </c>
      <c r="P62" s="32">
        <v>13281</v>
      </c>
      <c r="Q62" s="32">
        <v>537</v>
      </c>
      <c r="R62" s="32">
        <v>882</v>
      </c>
      <c r="S62" s="32">
        <v>906</v>
      </c>
      <c r="T62" s="32">
        <v>845</v>
      </c>
      <c r="U62" s="32">
        <v>13445</v>
      </c>
      <c r="V62" s="32">
        <v>327</v>
      </c>
      <c r="W62" s="32">
        <v>4658</v>
      </c>
      <c r="X62" s="32">
        <v>0</v>
      </c>
      <c r="Y62" s="32">
        <v>0</v>
      </c>
    </row>
    <row r="63" spans="2:25" x14ac:dyDescent="0.3">
      <c r="B63" s="89" t="s">
        <v>321</v>
      </c>
      <c r="D63" s="32">
        <v>0</v>
      </c>
      <c r="E63" s="32">
        <v>0</v>
      </c>
      <c r="F63" s="32">
        <v>0</v>
      </c>
      <c r="G63" s="32">
        <v>0</v>
      </c>
      <c r="L63" s="32">
        <v>0</v>
      </c>
      <c r="M63" s="32">
        <v>446893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</row>
    <row r="64" spans="2:25" x14ac:dyDescent="0.3">
      <c r="B64" s="89" t="s">
        <v>322</v>
      </c>
      <c r="D64" s="32">
        <f t="shared" ref="D64:G64" si="79">ROUND(AVERAGE($L64:$P64), -2)</f>
        <v>1000</v>
      </c>
      <c r="E64" s="32">
        <f t="shared" si="79"/>
        <v>1000</v>
      </c>
      <c r="F64" s="32">
        <f t="shared" si="79"/>
        <v>1000</v>
      </c>
      <c r="G64" s="32">
        <f t="shared" si="79"/>
        <v>1000</v>
      </c>
      <c r="L64" s="32">
        <v>96</v>
      </c>
      <c r="M64" s="32">
        <v>170</v>
      </c>
      <c r="N64" s="32">
        <v>329</v>
      </c>
      <c r="O64" s="32">
        <v>3486</v>
      </c>
      <c r="P64" s="32">
        <v>897</v>
      </c>
      <c r="Q64" s="32">
        <v>38</v>
      </c>
      <c r="R64" s="32">
        <v>165</v>
      </c>
      <c r="S64" s="32">
        <v>83</v>
      </c>
      <c r="T64" s="32">
        <v>486</v>
      </c>
      <c r="U64" s="32">
        <v>511</v>
      </c>
      <c r="V64" s="32">
        <v>561</v>
      </c>
      <c r="W64" s="32">
        <v>2</v>
      </c>
      <c r="X64" s="32">
        <v>755</v>
      </c>
      <c r="Y64" s="32">
        <v>6729</v>
      </c>
    </row>
    <row r="65" spans="2:25" x14ac:dyDescent="0.3">
      <c r="B65" s="76" t="s">
        <v>211</v>
      </c>
      <c r="C65" s="25"/>
      <c r="D65" s="77">
        <f t="shared" ref="D65:G65" si="80">SUM(D58:D64)</f>
        <v>691789.5</v>
      </c>
      <c r="E65" s="77">
        <f t="shared" si="80"/>
        <v>697289.5</v>
      </c>
      <c r="F65" s="77">
        <f t="shared" si="80"/>
        <v>721989.5</v>
      </c>
      <c r="G65" s="77">
        <f t="shared" si="80"/>
        <v>622189.5</v>
      </c>
      <c r="H65" s="77"/>
      <c r="I65" s="77"/>
      <c r="J65" s="77"/>
      <c r="K65" s="25"/>
      <c r="L65" s="77">
        <f>SUM(L58:L64)</f>
        <v>936869</v>
      </c>
      <c r="M65" s="77">
        <f t="shared" ref="M65:Y65" si="81">SUM(M58:M64)</f>
        <v>1510169</v>
      </c>
      <c r="N65" s="77">
        <f t="shared" si="81"/>
        <v>908963</v>
      </c>
      <c r="O65" s="77">
        <f t="shared" si="81"/>
        <v>915267</v>
      </c>
      <c r="P65" s="77">
        <f t="shared" si="81"/>
        <v>940042</v>
      </c>
      <c r="Q65" s="77">
        <f t="shared" si="81"/>
        <v>895861</v>
      </c>
      <c r="R65" s="77">
        <f t="shared" si="81"/>
        <v>856022</v>
      </c>
      <c r="S65" s="77">
        <f t="shared" si="81"/>
        <v>884911</v>
      </c>
      <c r="T65" s="77">
        <f t="shared" si="81"/>
        <v>796194</v>
      </c>
      <c r="U65" s="77">
        <f t="shared" si="81"/>
        <v>755660</v>
      </c>
      <c r="V65" s="77">
        <f t="shared" si="81"/>
        <v>759187</v>
      </c>
      <c r="W65" s="77">
        <f t="shared" si="81"/>
        <v>718173</v>
      </c>
      <c r="X65" s="77">
        <f t="shared" si="81"/>
        <v>721201</v>
      </c>
      <c r="Y65" s="77">
        <f t="shared" si="81"/>
        <v>781905</v>
      </c>
    </row>
    <row r="66" spans="2:25" x14ac:dyDescent="0.3">
      <c r="B66" s="76" t="s">
        <v>323</v>
      </c>
      <c r="C66" s="25"/>
      <c r="D66" s="153">
        <f t="shared" ref="D66:G66" si="82">D57 - D65</f>
        <v>386718.01647902839</v>
      </c>
      <c r="E66" s="153">
        <f t="shared" si="82"/>
        <v>393181.6628827427</v>
      </c>
      <c r="F66" s="153">
        <f t="shared" si="82"/>
        <v>443687.87158323685</v>
      </c>
      <c r="G66" s="153">
        <f t="shared" si="82"/>
        <v>395446.83010000433</v>
      </c>
      <c r="H66" s="77"/>
      <c r="I66" s="77"/>
      <c r="J66" s="77"/>
      <c r="K66" s="25"/>
      <c r="L66" s="153">
        <f>L57 - L65</f>
        <v>93250</v>
      </c>
      <c r="M66" s="153">
        <f t="shared" ref="M66:Y66" si="83">M57 - M65</f>
        <v>-408895</v>
      </c>
      <c r="N66" s="153">
        <f t="shared" si="83"/>
        <v>54845</v>
      </c>
      <c r="O66" s="153">
        <f t="shared" si="83"/>
        <v>52874</v>
      </c>
      <c r="P66" s="153">
        <f t="shared" si="83"/>
        <v>72061</v>
      </c>
      <c r="Q66" s="153">
        <f t="shared" si="83"/>
        <v>57210</v>
      </c>
      <c r="R66" s="153">
        <f t="shared" si="83"/>
        <v>71837</v>
      </c>
      <c r="S66" s="153">
        <f t="shared" si="83"/>
        <v>69898</v>
      </c>
      <c r="T66" s="153">
        <f t="shared" si="83"/>
        <v>42689</v>
      </c>
      <c r="U66" s="153">
        <f t="shared" si="83"/>
        <v>59984</v>
      </c>
      <c r="V66" s="153">
        <f t="shared" si="83"/>
        <v>85367</v>
      </c>
      <c r="W66" s="153">
        <f t="shared" si="83"/>
        <v>50809</v>
      </c>
      <c r="X66" s="153">
        <f t="shared" si="83"/>
        <v>68152</v>
      </c>
      <c r="Y66" s="153">
        <f t="shared" si="83"/>
        <v>72522</v>
      </c>
    </row>
    <row r="67" spans="2:25" x14ac:dyDescent="0.3">
      <c r="B67" s="89" t="s">
        <v>324</v>
      </c>
      <c r="D67" s="32">
        <f t="shared" ref="D67:G67" si="84">ROUND(D19 * D91, -1)</f>
        <v>470</v>
      </c>
      <c r="E67" s="32">
        <f t="shared" si="84"/>
        <v>480</v>
      </c>
      <c r="F67" s="32">
        <f t="shared" si="84"/>
        <v>510</v>
      </c>
      <c r="G67" s="32">
        <f t="shared" si="84"/>
        <v>450</v>
      </c>
      <c r="L67" s="32">
        <v>227</v>
      </c>
      <c r="M67" s="32">
        <v>192</v>
      </c>
      <c r="N67" s="32">
        <v>360</v>
      </c>
      <c r="O67" s="32">
        <v>944</v>
      </c>
      <c r="P67" s="32">
        <v>101</v>
      </c>
      <c r="Q67" s="32">
        <v>18</v>
      </c>
      <c r="R67" s="32">
        <v>154</v>
      </c>
      <c r="S67" s="32">
        <v>202</v>
      </c>
      <c r="T67" s="32">
        <v>344</v>
      </c>
      <c r="U67" s="32">
        <v>378</v>
      </c>
      <c r="V67" s="32">
        <v>974</v>
      </c>
      <c r="W67" s="32">
        <v>868</v>
      </c>
      <c r="X67" s="32">
        <v>507</v>
      </c>
      <c r="Y67" s="32">
        <v>421</v>
      </c>
    </row>
    <row r="68" spans="2:25" x14ac:dyDescent="0.3">
      <c r="B68" s="89" t="s">
        <v>325</v>
      </c>
      <c r="D68" s="32">
        <f>ROUND(D20 * AVERAGE(D125:E125), -1)</f>
        <v>3240</v>
      </c>
      <c r="E68" s="32">
        <f t="shared" ref="E68:G68" si="85">ROUND(E20 * AVERAGE(E125:F125), -1)</f>
        <v>3240</v>
      </c>
      <c r="F68" s="32">
        <f t="shared" si="85"/>
        <v>3240</v>
      </c>
      <c r="G68" s="32">
        <f t="shared" si="85"/>
        <v>3240</v>
      </c>
      <c r="L68" s="32">
        <v>2853</v>
      </c>
      <c r="M68" s="32">
        <v>3799</v>
      </c>
      <c r="N68" s="32">
        <v>3991</v>
      </c>
      <c r="O68" s="32">
        <v>4300</v>
      </c>
      <c r="P68" s="32">
        <v>4956</v>
      </c>
      <c r="Q68" s="32">
        <v>3735</v>
      </c>
      <c r="R68" s="32">
        <v>3807</v>
      </c>
      <c r="S68" s="32">
        <v>4326</v>
      </c>
      <c r="T68" s="32">
        <v>4707</v>
      </c>
      <c r="U68" s="32">
        <v>5552</v>
      </c>
      <c r="V68" s="32">
        <v>5815</v>
      </c>
      <c r="W68" s="32">
        <v>5745</v>
      </c>
      <c r="X68" s="32">
        <v>5904</v>
      </c>
      <c r="Y68" s="32">
        <v>6312</v>
      </c>
    </row>
    <row r="69" spans="2:25" x14ac:dyDescent="0.3">
      <c r="B69" s="89" t="s">
        <v>326</v>
      </c>
      <c r="D69" s="32">
        <v>0</v>
      </c>
      <c r="E69" s="32">
        <v>0</v>
      </c>
      <c r="F69" s="32">
        <v>0</v>
      </c>
      <c r="G69" s="32">
        <v>0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20098</v>
      </c>
      <c r="S69" s="32">
        <v>0</v>
      </c>
      <c r="T69" s="32">
        <v>0</v>
      </c>
      <c r="U69" s="32">
        <v>0</v>
      </c>
      <c r="V69" s="32">
        <v>0</v>
      </c>
      <c r="W69" s="32">
        <v>0</v>
      </c>
      <c r="X69" s="32">
        <v>0</v>
      </c>
      <c r="Y69" s="32">
        <v>0</v>
      </c>
    </row>
    <row r="70" spans="2:25" x14ac:dyDescent="0.3">
      <c r="B70" s="89" t="s">
        <v>327</v>
      </c>
      <c r="D70" s="32">
        <f t="shared" ref="D70:G70" si="86">ROUND(AVERAGE($L70:$P70), -2)</f>
        <v>1100</v>
      </c>
      <c r="E70" s="32">
        <f t="shared" si="86"/>
        <v>1100</v>
      </c>
      <c r="F70" s="32">
        <f t="shared" si="86"/>
        <v>1100</v>
      </c>
      <c r="G70" s="32">
        <f t="shared" si="86"/>
        <v>1100</v>
      </c>
      <c r="L70" s="32">
        <v>1721</v>
      </c>
      <c r="M70" s="32">
        <v>1951</v>
      </c>
      <c r="N70" s="32">
        <v>207</v>
      </c>
      <c r="O70" s="32">
        <v>329</v>
      </c>
      <c r="P70" s="32">
        <v>1308</v>
      </c>
      <c r="Q70" s="32">
        <v>154</v>
      </c>
      <c r="R70" s="32">
        <v>200</v>
      </c>
      <c r="S70" s="32">
        <v>812</v>
      </c>
      <c r="T70" s="32">
        <v>895</v>
      </c>
      <c r="U70" s="32">
        <v>1163</v>
      </c>
      <c r="V70" s="32">
        <v>975</v>
      </c>
      <c r="W70" s="32">
        <v>650</v>
      </c>
      <c r="X70" s="32">
        <v>1631</v>
      </c>
      <c r="Y70" s="32">
        <v>361</v>
      </c>
    </row>
    <row r="71" spans="2:25" x14ac:dyDescent="0.3">
      <c r="B71" s="76" t="s">
        <v>328</v>
      </c>
      <c r="C71" s="25"/>
      <c r="D71" s="153">
        <f t="shared" ref="D71:G71" si="87">D66 + D67 - D68 - D69 + D70</f>
        <v>385048.01647902839</v>
      </c>
      <c r="E71" s="153">
        <f t="shared" si="87"/>
        <v>391521.6628827427</v>
      </c>
      <c r="F71" s="153">
        <f t="shared" si="87"/>
        <v>442057.87158323685</v>
      </c>
      <c r="G71" s="153">
        <f t="shared" si="87"/>
        <v>393756.83010000433</v>
      </c>
      <c r="H71" s="77"/>
      <c r="I71" s="77"/>
      <c r="J71" s="77"/>
      <c r="K71" s="25"/>
      <c r="L71" s="153">
        <f>L66 + L67 - L68 - L69 + L70</f>
        <v>92345</v>
      </c>
      <c r="M71" s="153">
        <f t="shared" ref="M71:Y71" si="88">M66 + M67 - M68 - M69 + M70</f>
        <v>-410551</v>
      </c>
      <c r="N71" s="153">
        <f t="shared" si="88"/>
        <v>51421</v>
      </c>
      <c r="O71" s="153">
        <f t="shared" si="88"/>
        <v>49847</v>
      </c>
      <c r="P71" s="153">
        <f t="shared" si="88"/>
        <v>68514</v>
      </c>
      <c r="Q71" s="153">
        <f t="shared" si="88"/>
        <v>53647</v>
      </c>
      <c r="R71" s="153">
        <f t="shared" si="88"/>
        <v>48286</v>
      </c>
      <c r="S71" s="153">
        <f t="shared" si="88"/>
        <v>66586</v>
      </c>
      <c r="T71" s="153">
        <f t="shared" si="88"/>
        <v>39221</v>
      </c>
      <c r="U71" s="153">
        <f t="shared" si="88"/>
        <v>55973</v>
      </c>
      <c r="V71" s="153">
        <f t="shared" si="88"/>
        <v>81501</v>
      </c>
      <c r="W71" s="153">
        <f t="shared" si="88"/>
        <v>46582</v>
      </c>
      <c r="X71" s="153">
        <f t="shared" si="88"/>
        <v>64386</v>
      </c>
      <c r="Y71" s="153">
        <f t="shared" si="88"/>
        <v>66992</v>
      </c>
    </row>
    <row r="72" spans="2:25" x14ac:dyDescent="0.3">
      <c r="B72" s="89" t="s">
        <v>329</v>
      </c>
      <c r="D72" s="32">
        <f>D71 * D22</f>
        <v>90020.555023511028</v>
      </c>
      <c r="E72" s="32">
        <f t="shared" ref="E72:G72" si="89">E71 * E22</f>
        <v>91534.031829903193</v>
      </c>
      <c r="F72" s="32">
        <f t="shared" si="89"/>
        <v>103348.91558804415</v>
      </c>
      <c r="G72" s="32">
        <f t="shared" si="89"/>
        <v>92056.592614161142</v>
      </c>
      <c r="L72" s="32">
        <v>24160</v>
      </c>
      <c r="M72" s="32">
        <v>134448</v>
      </c>
      <c r="N72" s="32">
        <v>11864</v>
      </c>
      <c r="O72" s="32">
        <v>14169</v>
      </c>
      <c r="P72" s="32">
        <v>14230</v>
      </c>
      <c r="Q72" s="32">
        <v>9695</v>
      </c>
      <c r="R72" s="32">
        <v>11479</v>
      </c>
      <c r="S72" s="32">
        <v>14506</v>
      </c>
      <c r="T72" s="32">
        <v>13880</v>
      </c>
      <c r="U72" s="32">
        <v>20660</v>
      </c>
      <c r="V72" s="32">
        <v>29323</v>
      </c>
      <c r="W72" s="32">
        <v>15818</v>
      </c>
      <c r="X72" s="32">
        <v>22623</v>
      </c>
      <c r="Y72" s="32">
        <v>30041</v>
      </c>
    </row>
    <row r="73" spans="2:25" x14ac:dyDescent="0.3">
      <c r="B73" s="76" t="s">
        <v>330</v>
      </c>
      <c r="C73" s="25"/>
      <c r="D73" s="153">
        <f t="shared" ref="D73:G73" si="90">D71 - D72</f>
        <v>295027.46145551733</v>
      </c>
      <c r="E73" s="153">
        <f t="shared" si="90"/>
        <v>299987.63105283951</v>
      </c>
      <c r="F73" s="153">
        <f t="shared" si="90"/>
        <v>338708.95599519269</v>
      </c>
      <c r="G73" s="153">
        <f t="shared" si="90"/>
        <v>301700.23748584319</v>
      </c>
      <c r="H73" s="77"/>
      <c r="I73" s="77"/>
      <c r="J73" s="77"/>
      <c r="K73" s="25"/>
      <c r="L73" s="153">
        <f>L71 - L72</f>
        <v>68185</v>
      </c>
      <c r="M73" s="153">
        <f>M71 + M72</f>
        <v>-276103</v>
      </c>
      <c r="N73" s="153">
        <f t="shared" ref="N73:Y73" si="91">N71 - N72</f>
        <v>39557</v>
      </c>
      <c r="O73" s="153">
        <f t="shared" si="91"/>
        <v>35678</v>
      </c>
      <c r="P73" s="153">
        <f t="shared" si="91"/>
        <v>54284</v>
      </c>
      <c r="Q73" s="153">
        <f t="shared" si="91"/>
        <v>43952</v>
      </c>
      <c r="R73" s="153">
        <f t="shared" si="91"/>
        <v>36807</v>
      </c>
      <c r="S73" s="153">
        <f t="shared" si="91"/>
        <v>52080</v>
      </c>
      <c r="T73" s="153">
        <f t="shared" si="91"/>
        <v>25341</v>
      </c>
      <c r="U73" s="153">
        <f t="shared" si="91"/>
        <v>35313</v>
      </c>
      <c r="V73" s="153">
        <f t="shared" si="91"/>
        <v>52178</v>
      </c>
      <c r="W73" s="153">
        <f t="shared" si="91"/>
        <v>30764</v>
      </c>
      <c r="X73" s="153">
        <f t="shared" si="91"/>
        <v>41763</v>
      </c>
      <c r="Y73" s="153">
        <f t="shared" si="91"/>
        <v>36951</v>
      </c>
    </row>
    <row r="74" spans="2:25" hidden="1" outlineLevel="1" x14ac:dyDescent="0.3">
      <c r="B74" s="30" t="s">
        <v>427</v>
      </c>
      <c r="L74" s="32">
        <v>67097</v>
      </c>
      <c r="M74" s="32">
        <v>66822</v>
      </c>
      <c r="N74" s="32">
        <v>67400</v>
      </c>
      <c r="O74" s="32">
        <v>67687</v>
      </c>
      <c r="P74" s="32">
        <v>67294</v>
      </c>
      <c r="Q74" s="32">
        <v>68819</v>
      </c>
      <c r="R74" s="32">
        <v>69645</v>
      </c>
      <c r="S74" s="32">
        <v>70105</v>
      </c>
      <c r="T74" s="32">
        <v>70746</v>
      </c>
      <c r="U74" s="32">
        <v>70686</v>
      </c>
      <c r="V74" s="32">
        <v>71318</v>
      </c>
      <c r="W74" s="32">
        <v>72608</v>
      </c>
      <c r="X74" s="32">
        <v>72761</v>
      </c>
      <c r="Y74" s="32">
        <v>72634</v>
      </c>
    </row>
    <row r="75" spans="2:25" hidden="1" outlineLevel="1" x14ac:dyDescent="0.3">
      <c r="B75" s="30" t="s">
        <v>859</v>
      </c>
      <c r="L75" s="32">
        <v>67523</v>
      </c>
      <c r="M75" s="32">
        <v>66822</v>
      </c>
      <c r="N75" s="32">
        <v>68652</v>
      </c>
      <c r="O75" s="32">
        <v>68793</v>
      </c>
      <c r="P75" s="32">
        <v>68773</v>
      </c>
      <c r="Q75" s="32">
        <v>70139</v>
      </c>
      <c r="R75" s="32">
        <v>70837</v>
      </c>
      <c r="S75" s="32">
        <v>72018</v>
      </c>
      <c r="T75" s="32">
        <v>72095</v>
      </c>
      <c r="U75" s="32">
        <v>71697</v>
      </c>
      <c r="V75" s="32">
        <v>72386</v>
      </c>
      <c r="W75" s="32">
        <v>73199</v>
      </c>
      <c r="X75" s="32">
        <v>73279</v>
      </c>
      <c r="Y75" s="32">
        <v>73217</v>
      </c>
    </row>
    <row r="76" spans="2:25" hidden="1" outlineLevel="1" x14ac:dyDescent="0.3">
      <c r="B76" s="30" t="s">
        <v>220</v>
      </c>
      <c r="L76" s="32">
        <v>67139.077999999994</v>
      </c>
      <c r="M76" s="32">
        <v>67086.063999999998</v>
      </c>
      <c r="N76" s="32">
        <v>67150.067999999999</v>
      </c>
      <c r="O76" s="32">
        <v>67547.497000000003</v>
      </c>
      <c r="P76" s="32">
        <v>67677.448999999993</v>
      </c>
      <c r="Q76" s="32">
        <v>68587.334000000003</v>
      </c>
      <c r="R76" s="32">
        <v>69159.023000000001</v>
      </c>
      <c r="S76" s="32">
        <v>70173.548999999999</v>
      </c>
      <c r="T76" s="32">
        <v>70760.34</v>
      </c>
      <c r="U76" s="32">
        <v>70722.974000000002</v>
      </c>
      <c r="V76" s="32">
        <v>70643.002999999997</v>
      </c>
      <c r="W76" s="32">
        <v>71416.570000000007</v>
      </c>
      <c r="X76" s="32">
        <v>72771.653000000006</v>
      </c>
      <c r="Y76" s="32">
        <v>72749.37</v>
      </c>
    </row>
    <row r="77" spans="2:25" hidden="1" outlineLevel="1" x14ac:dyDescent="0.3">
      <c r="B77" s="30" t="s">
        <v>429</v>
      </c>
      <c r="L77" s="31">
        <v>1.02</v>
      </c>
      <c r="M77" s="31">
        <v>4.1900000000000004</v>
      </c>
      <c r="N77" s="31">
        <v>0.59</v>
      </c>
      <c r="O77" s="31">
        <v>0.63</v>
      </c>
      <c r="P77" s="31">
        <v>0.83</v>
      </c>
      <c r="Q77" s="31">
        <v>0.64</v>
      </c>
      <c r="R77" s="31">
        <v>0.55000000000000004</v>
      </c>
      <c r="S77" s="31">
        <v>0.75</v>
      </c>
      <c r="T77" s="31">
        <v>0.36</v>
      </c>
      <c r="U77" s="31">
        <v>0.51</v>
      </c>
      <c r="V77" s="31">
        <v>0.75</v>
      </c>
      <c r="W77" s="31">
        <v>0.41</v>
      </c>
      <c r="X77" s="31">
        <v>0.53</v>
      </c>
      <c r="Y77" s="31">
        <v>0.68</v>
      </c>
    </row>
    <row r="78" spans="2:25" hidden="1" outlineLevel="1" x14ac:dyDescent="0.3">
      <c r="B78" s="30" t="s">
        <v>860</v>
      </c>
      <c r="L78" s="31">
        <v>1.01</v>
      </c>
      <c r="M78" s="31">
        <v>4.1900000000000004</v>
      </c>
      <c r="N78" s="31">
        <v>0.57999999999999996</v>
      </c>
      <c r="O78" s="31">
        <v>0.62</v>
      </c>
      <c r="P78" s="31">
        <v>0.82</v>
      </c>
      <c r="Q78" s="31">
        <v>0.62</v>
      </c>
      <c r="R78" s="31">
        <v>0.54</v>
      </c>
      <c r="S78" s="31">
        <v>0.73</v>
      </c>
      <c r="T78" s="31">
        <v>0.35</v>
      </c>
      <c r="U78" s="31">
        <v>0.51</v>
      </c>
      <c r="V78" s="31">
        <v>0.74</v>
      </c>
      <c r="W78" s="31">
        <v>0.4</v>
      </c>
      <c r="X78" s="31">
        <v>0.53</v>
      </c>
      <c r="Y78" s="31">
        <v>0.68</v>
      </c>
    </row>
    <row r="79" spans="2:25" hidden="1" outlineLevel="1" x14ac:dyDescent="0.3">
      <c r="B79" s="30" t="s">
        <v>332</v>
      </c>
      <c r="L79" s="31">
        <v>0.04</v>
      </c>
      <c r="M79" s="31">
        <v>0.04</v>
      </c>
      <c r="N79" s="31">
        <v>3.5000000000000003E-2</v>
      </c>
      <c r="O79" s="31">
        <v>3.5000000000000003E-2</v>
      </c>
      <c r="P79" s="31">
        <v>3.5000000000000003E-2</v>
      </c>
      <c r="Q79" s="31">
        <v>0.03</v>
      </c>
      <c r="R79" s="31">
        <v>0.03</v>
      </c>
      <c r="S79" s="31">
        <v>0.03</v>
      </c>
      <c r="T79" s="31">
        <v>2.8000000000000001E-2</v>
      </c>
      <c r="U79" s="31">
        <v>2.8000000000000001E-2</v>
      </c>
      <c r="V79" s="31">
        <v>2.8000000000000001E-2</v>
      </c>
      <c r="W79" s="31">
        <v>2.5000000000000001E-2</v>
      </c>
      <c r="X79" s="31">
        <v>2.5000000000000001E-2</v>
      </c>
      <c r="Y79" s="31">
        <v>2.5000000000000001E-2</v>
      </c>
    </row>
    <row r="80" spans="2:25" collapsed="1" x14ac:dyDescent="0.3"/>
    <row r="81" spans="2:25" s="64" customFormat="1" x14ac:dyDescent="0.3">
      <c r="B81" s="56" t="s">
        <v>223</v>
      </c>
      <c r="C81" s="3"/>
      <c r="D81" s="57"/>
      <c r="E81" s="57"/>
      <c r="F81" s="57"/>
      <c r="G81" s="57"/>
      <c r="H81" s="57"/>
      <c r="I81" s="57"/>
      <c r="J81" s="57"/>
      <c r="K81" s="3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</row>
    <row r="82" spans="2:25" s="84" customFormat="1" x14ac:dyDescent="0.3">
      <c r="B82" s="87" t="s">
        <v>224</v>
      </c>
      <c r="C82" s="85"/>
      <c r="D82" s="86"/>
      <c r="E82" s="86"/>
      <c r="F82" s="86"/>
      <c r="G82" s="86"/>
      <c r="H82" s="144"/>
      <c r="I82" s="126"/>
      <c r="J82" s="108"/>
      <c r="K82" s="85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</row>
    <row r="83" spans="2:25" s="74" customFormat="1" outlineLevel="1" x14ac:dyDescent="0.3">
      <c r="B83" s="88" t="s">
        <v>225</v>
      </c>
      <c r="C83" s="29"/>
      <c r="D83" s="83">
        <f>ROUND(D24 * SUM(D$51:D$53), -2)</f>
        <v>288800</v>
      </c>
      <c r="E83" s="83">
        <f t="shared" ref="E83:G83" si="92">ROUND(E24 * SUM(E$51:E$53), -2)</f>
        <v>291700</v>
      </c>
      <c r="F83" s="83">
        <f t="shared" si="92"/>
        <v>311500</v>
      </c>
      <c r="G83" s="83">
        <f t="shared" si="92"/>
        <v>271300</v>
      </c>
      <c r="H83" s="145"/>
      <c r="I83" s="127"/>
      <c r="J83" s="109"/>
      <c r="K83" s="29"/>
      <c r="L83" s="83">
        <v>313057</v>
      </c>
      <c r="M83" s="83">
        <v>551017</v>
      </c>
      <c r="N83" s="83">
        <v>150261</v>
      </c>
      <c r="O83" s="83">
        <v>100242</v>
      </c>
      <c r="P83" s="83">
        <v>124154</v>
      </c>
      <c r="Q83" s="83">
        <v>34986</v>
      </c>
      <c r="R83" s="83">
        <v>94323</v>
      </c>
      <c r="S83" s="83">
        <v>189410</v>
      </c>
      <c r="T83" s="83">
        <v>126253</v>
      </c>
      <c r="U83" s="83">
        <v>260335</v>
      </c>
      <c r="V83" s="83">
        <v>348490</v>
      </c>
      <c r="W83" s="83">
        <v>319486</v>
      </c>
      <c r="X83" s="83">
        <v>242239</v>
      </c>
      <c r="Y83" s="83">
        <v>118905</v>
      </c>
    </row>
    <row r="84" spans="2:25" outlineLevel="1" x14ac:dyDescent="0.3">
      <c r="B84" s="89" t="s">
        <v>333</v>
      </c>
      <c r="D84" s="34">
        <f t="shared" ref="D84:G84" si="93">ROUND(D25 * SUM(D$51:D$53), -2)</f>
        <v>0</v>
      </c>
      <c r="E84" s="34">
        <f t="shared" si="93"/>
        <v>0</v>
      </c>
      <c r="F84" s="34">
        <f t="shared" si="93"/>
        <v>0</v>
      </c>
      <c r="G84" s="34">
        <f t="shared" si="93"/>
        <v>0</v>
      </c>
      <c r="H84" s="34"/>
      <c r="I84" s="34"/>
      <c r="J84" s="34"/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2">
        <v>20466</v>
      </c>
      <c r="T84" s="32">
        <v>22893</v>
      </c>
      <c r="U84" s="32">
        <v>22252</v>
      </c>
      <c r="V84" s="32">
        <v>21439</v>
      </c>
      <c r="W84" s="32">
        <v>20948</v>
      </c>
      <c r="X84" s="32">
        <v>20863</v>
      </c>
      <c r="Y84" s="32">
        <v>22108</v>
      </c>
    </row>
    <row r="85" spans="2:25" outlineLevel="1" x14ac:dyDescent="0.3">
      <c r="B85" s="89" t="s">
        <v>334</v>
      </c>
      <c r="D85" s="32">
        <f t="shared" ref="D85:G85" si="94">ROUND(D27 * SUM(D$51:D$53), -2)</f>
        <v>170000</v>
      </c>
      <c r="E85" s="32">
        <f t="shared" si="94"/>
        <v>171700</v>
      </c>
      <c r="F85" s="32">
        <f t="shared" si="94"/>
        <v>183400</v>
      </c>
      <c r="G85" s="32">
        <f t="shared" si="94"/>
        <v>159700</v>
      </c>
      <c r="L85" s="32">
        <v>153227</v>
      </c>
      <c r="M85" s="32">
        <v>164803</v>
      </c>
      <c r="N85" s="32">
        <v>167842</v>
      </c>
      <c r="O85" s="32">
        <v>148257</v>
      </c>
      <c r="P85" s="32">
        <v>140822</v>
      </c>
      <c r="Q85" s="32">
        <v>150150</v>
      </c>
      <c r="R85" s="32">
        <v>133277</v>
      </c>
      <c r="S85" s="32">
        <v>125169</v>
      </c>
      <c r="T85" s="32">
        <v>136861</v>
      </c>
      <c r="U85" s="32">
        <v>121411</v>
      </c>
      <c r="V85" s="32">
        <v>126114</v>
      </c>
      <c r="W85" s="32">
        <v>121510</v>
      </c>
      <c r="X85" s="32">
        <v>117274</v>
      </c>
      <c r="Y85" s="32">
        <v>115231</v>
      </c>
    </row>
    <row r="86" spans="2:25" outlineLevel="1" x14ac:dyDescent="0.3">
      <c r="B86" s="89" t="s">
        <v>335</v>
      </c>
      <c r="D86" s="32">
        <f>ROUND(D85 * D33, -2)</f>
        <v>81300</v>
      </c>
      <c r="E86" s="32">
        <f t="shared" ref="E86:G86" si="95">ROUND(E85 * E33, -2)</f>
        <v>82100</v>
      </c>
      <c r="F86" s="32">
        <f t="shared" si="95"/>
        <v>87700</v>
      </c>
      <c r="G86" s="32">
        <f t="shared" si="95"/>
        <v>76400</v>
      </c>
      <c r="L86" s="32">
        <v>73294</v>
      </c>
      <c r="M86" s="32">
        <v>77430</v>
      </c>
      <c r="N86" s="32">
        <v>74752</v>
      </c>
      <c r="O86" s="32">
        <v>63000</v>
      </c>
      <c r="P86" s="32">
        <v>56785</v>
      </c>
      <c r="Q86" s="32">
        <v>57839</v>
      </c>
      <c r="R86" s="32">
        <v>48968</v>
      </c>
      <c r="S86" s="32">
        <v>43736</v>
      </c>
      <c r="T86" s="32">
        <v>44700</v>
      </c>
      <c r="U86" s="32">
        <v>36589</v>
      </c>
      <c r="V86" s="32">
        <v>32405</v>
      </c>
      <c r="W86" s="32">
        <v>34726</v>
      </c>
      <c r="X86" s="32">
        <v>33183</v>
      </c>
      <c r="Y86" s="32">
        <v>30028</v>
      </c>
    </row>
    <row r="87" spans="2:25" outlineLevel="1" x14ac:dyDescent="0.3">
      <c r="B87" s="161" t="s">
        <v>336</v>
      </c>
      <c r="C87" s="162"/>
      <c r="D87" s="163">
        <f t="shared" ref="D87:G87" si="96">D85 - D86</f>
        <v>88700</v>
      </c>
      <c r="E87" s="163">
        <f t="shared" si="96"/>
        <v>89600</v>
      </c>
      <c r="F87" s="163">
        <f t="shared" si="96"/>
        <v>95700</v>
      </c>
      <c r="G87" s="163">
        <f t="shared" si="96"/>
        <v>83300</v>
      </c>
      <c r="H87" s="163"/>
      <c r="I87" s="163"/>
      <c r="J87" s="163"/>
      <c r="K87" s="162"/>
      <c r="L87" s="163">
        <f>L85 - L86</f>
        <v>79933</v>
      </c>
      <c r="M87" s="163">
        <f t="shared" ref="M87:Y87" si="97">M85 - M86</f>
        <v>87373</v>
      </c>
      <c r="N87" s="163">
        <f t="shared" si="97"/>
        <v>93090</v>
      </c>
      <c r="O87" s="163">
        <f t="shared" si="97"/>
        <v>85257</v>
      </c>
      <c r="P87" s="163">
        <f t="shared" si="97"/>
        <v>84037</v>
      </c>
      <c r="Q87" s="163">
        <f t="shared" si="97"/>
        <v>92311</v>
      </c>
      <c r="R87" s="163">
        <f t="shared" si="97"/>
        <v>84309</v>
      </c>
      <c r="S87" s="163">
        <f t="shared" si="97"/>
        <v>81433</v>
      </c>
      <c r="T87" s="163">
        <f t="shared" si="97"/>
        <v>92161</v>
      </c>
      <c r="U87" s="163">
        <f t="shared" si="97"/>
        <v>84822</v>
      </c>
      <c r="V87" s="163">
        <f t="shared" si="97"/>
        <v>93709</v>
      </c>
      <c r="W87" s="163">
        <f t="shared" si="97"/>
        <v>86784</v>
      </c>
      <c r="X87" s="163">
        <f t="shared" si="97"/>
        <v>84091</v>
      </c>
      <c r="Y87" s="163">
        <f t="shared" si="97"/>
        <v>85203</v>
      </c>
    </row>
    <row r="88" spans="2:25" outlineLevel="1" x14ac:dyDescent="0.3">
      <c r="B88" s="89" t="s">
        <v>337</v>
      </c>
      <c r="D88" s="32">
        <f>ROUND(D28 * SUM(D$51:D$53), -2)</f>
        <v>2281800</v>
      </c>
      <c r="E88" s="32">
        <f t="shared" ref="E88:G88" si="98">ROUND(E28 * SUM(E$51:E$53), -2)</f>
        <v>2304600</v>
      </c>
      <c r="F88" s="32">
        <f t="shared" si="98"/>
        <v>2461000</v>
      </c>
      <c r="G88" s="32">
        <f t="shared" si="98"/>
        <v>2143800</v>
      </c>
      <c r="L88" s="32">
        <v>1997899</v>
      </c>
      <c r="M88" s="32">
        <v>2185631</v>
      </c>
      <c r="N88" s="32">
        <v>2172804</v>
      </c>
      <c r="O88" s="32">
        <v>2148089</v>
      </c>
      <c r="P88" s="32">
        <v>2109122</v>
      </c>
      <c r="Q88" s="32">
        <v>2002628</v>
      </c>
      <c r="R88" s="32">
        <v>1910639</v>
      </c>
      <c r="S88" s="32">
        <v>1867310</v>
      </c>
      <c r="T88" s="32">
        <v>1811524</v>
      </c>
      <c r="U88" s="32">
        <v>1738313</v>
      </c>
      <c r="V88" s="32">
        <v>1703162</v>
      </c>
      <c r="W88" s="32">
        <v>1695085</v>
      </c>
      <c r="X88" s="32">
        <v>1754134</v>
      </c>
      <c r="Y88" s="32">
        <v>1822240</v>
      </c>
    </row>
    <row r="89" spans="2:25" outlineLevel="1" x14ac:dyDescent="0.3">
      <c r="B89" s="89" t="s">
        <v>338</v>
      </c>
      <c r="D89" s="32">
        <f>ROUND(D88 * D34, -2)</f>
        <v>948800</v>
      </c>
      <c r="E89" s="32">
        <f t="shared" ref="E89:G89" si="99">ROUND(E88 * E34, -2)</f>
        <v>958300</v>
      </c>
      <c r="F89" s="32">
        <f t="shared" si="99"/>
        <v>1023300</v>
      </c>
      <c r="G89" s="32">
        <f t="shared" si="99"/>
        <v>891400</v>
      </c>
      <c r="L89" s="32">
        <v>878259</v>
      </c>
      <c r="M89" s="32">
        <v>908058</v>
      </c>
      <c r="N89" s="32">
        <v>890932</v>
      </c>
      <c r="O89" s="32">
        <v>855365</v>
      </c>
      <c r="P89" s="32">
        <v>808056</v>
      </c>
      <c r="Q89" s="32">
        <v>805816</v>
      </c>
      <c r="R89" s="32">
        <v>773211</v>
      </c>
      <c r="S89" s="32">
        <v>735214</v>
      </c>
      <c r="T89" s="32">
        <v>763255</v>
      </c>
      <c r="U89" s="32">
        <v>744077</v>
      </c>
      <c r="V89" s="32">
        <v>718607</v>
      </c>
      <c r="W89" s="32">
        <v>737104</v>
      </c>
      <c r="X89" s="32">
        <v>726499</v>
      </c>
      <c r="Y89" s="32">
        <v>720007</v>
      </c>
    </row>
    <row r="90" spans="2:25" outlineLevel="1" x14ac:dyDescent="0.3">
      <c r="B90" s="161" t="s">
        <v>339</v>
      </c>
      <c r="C90" s="162"/>
      <c r="D90" s="163">
        <f t="shared" ref="D90:G90" si="100">D88 - D89</f>
        <v>1333000</v>
      </c>
      <c r="E90" s="163">
        <f t="shared" si="100"/>
        <v>1346300</v>
      </c>
      <c r="F90" s="163">
        <f t="shared" si="100"/>
        <v>1437700</v>
      </c>
      <c r="G90" s="163">
        <f t="shared" si="100"/>
        <v>1252400</v>
      </c>
      <c r="H90" s="163"/>
      <c r="I90" s="163"/>
      <c r="J90" s="163"/>
      <c r="K90" s="162"/>
      <c r="L90" s="163">
        <f>L88 - L89</f>
        <v>1119640</v>
      </c>
      <c r="M90" s="163">
        <f t="shared" ref="M90:Y90" si="101">M88 - M89</f>
        <v>1277573</v>
      </c>
      <c r="N90" s="163">
        <f t="shared" si="101"/>
        <v>1281872</v>
      </c>
      <c r="O90" s="163">
        <f t="shared" si="101"/>
        <v>1292724</v>
      </c>
      <c r="P90" s="163">
        <f t="shared" si="101"/>
        <v>1301066</v>
      </c>
      <c r="Q90" s="163">
        <f t="shared" si="101"/>
        <v>1196812</v>
      </c>
      <c r="R90" s="163">
        <f t="shared" si="101"/>
        <v>1137428</v>
      </c>
      <c r="S90" s="163">
        <f t="shared" si="101"/>
        <v>1132096</v>
      </c>
      <c r="T90" s="163">
        <f t="shared" si="101"/>
        <v>1048269</v>
      </c>
      <c r="U90" s="163">
        <f t="shared" si="101"/>
        <v>994236</v>
      </c>
      <c r="V90" s="163">
        <f t="shared" si="101"/>
        <v>984555</v>
      </c>
      <c r="W90" s="163">
        <f t="shared" si="101"/>
        <v>957981</v>
      </c>
      <c r="X90" s="163">
        <f t="shared" si="101"/>
        <v>1027635</v>
      </c>
      <c r="Y90" s="163">
        <f t="shared" si="101"/>
        <v>1102233</v>
      </c>
    </row>
    <row r="91" spans="2:25" outlineLevel="1" x14ac:dyDescent="0.3">
      <c r="B91" s="89" t="s">
        <v>340</v>
      </c>
      <c r="D91" s="32">
        <f>ROUND(D29 * SUM(D$51:D$53), -2)</f>
        <v>100900</v>
      </c>
      <c r="E91" s="32">
        <f t="shared" ref="E91:G91" si="102">ROUND(E29 * SUM(E$51:E$53), -2)</f>
        <v>101900</v>
      </c>
      <c r="F91" s="32">
        <f t="shared" si="102"/>
        <v>108800</v>
      </c>
      <c r="G91" s="32">
        <f t="shared" si="102"/>
        <v>94800</v>
      </c>
      <c r="L91" s="32">
        <v>96519</v>
      </c>
      <c r="M91" s="32">
        <v>99453</v>
      </c>
      <c r="N91" s="32">
        <v>92100</v>
      </c>
      <c r="O91" s="32">
        <v>88921</v>
      </c>
      <c r="P91" s="32">
        <v>91489</v>
      </c>
      <c r="Q91" s="32">
        <v>98600</v>
      </c>
      <c r="R91" s="32">
        <v>98966</v>
      </c>
      <c r="S91" s="32">
        <v>100427</v>
      </c>
      <c r="T91" s="32">
        <v>103911</v>
      </c>
      <c r="U91" s="32">
        <v>100309</v>
      </c>
      <c r="V91" s="32">
        <v>98239</v>
      </c>
      <c r="W91" s="32">
        <v>95773</v>
      </c>
      <c r="X91" s="32">
        <v>93054</v>
      </c>
      <c r="Y91" s="32">
        <v>89977</v>
      </c>
    </row>
    <row r="92" spans="2:25" outlineLevel="1" x14ac:dyDescent="0.3">
      <c r="B92" s="89" t="s">
        <v>341</v>
      </c>
      <c r="D92" s="32">
        <f>D91 * D35</f>
        <v>39357.889120276835</v>
      </c>
      <c r="E92" s="32">
        <f t="shared" ref="E92:G92" si="103">E91 * E35</f>
        <v>39747.957396989194</v>
      </c>
      <c r="F92" s="32">
        <f t="shared" si="103"/>
        <v>42439.428506304459</v>
      </c>
      <c r="G92" s="32">
        <f t="shared" si="103"/>
        <v>36978.472632331461</v>
      </c>
      <c r="L92" s="32">
        <v>37649</v>
      </c>
      <c r="M92" s="32">
        <v>38306</v>
      </c>
      <c r="N92" s="32">
        <v>19970</v>
      </c>
      <c r="O92" s="32">
        <v>18947</v>
      </c>
      <c r="P92" s="32">
        <v>18925</v>
      </c>
      <c r="Q92" s="32">
        <v>20538</v>
      </c>
      <c r="R92" s="32">
        <v>19278</v>
      </c>
      <c r="S92" s="32">
        <v>18657</v>
      </c>
      <c r="T92" s="32">
        <v>18809</v>
      </c>
      <c r="U92" s="32">
        <v>16572</v>
      </c>
      <c r="V92" s="32">
        <v>14646</v>
      </c>
      <c r="W92" s="32">
        <v>12225</v>
      </c>
      <c r="X92" s="32">
        <v>9794</v>
      </c>
      <c r="Y92" s="32">
        <v>6779</v>
      </c>
    </row>
    <row r="93" spans="2:25" outlineLevel="1" x14ac:dyDescent="0.3">
      <c r="B93" s="161" t="s">
        <v>342</v>
      </c>
      <c r="C93" s="162"/>
      <c r="D93" s="163">
        <f t="shared" ref="D93:G93" si="104">D91 - D92</f>
        <v>61542.110879723165</v>
      </c>
      <c r="E93" s="163">
        <f t="shared" si="104"/>
        <v>62152.042603010806</v>
      </c>
      <c r="F93" s="163">
        <f t="shared" si="104"/>
        <v>66360.571493695548</v>
      </c>
      <c r="G93" s="163">
        <f t="shared" si="104"/>
        <v>57821.527367668539</v>
      </c>
      <c r="H93" s="163"/>
      <c r="I93" s="163"/>
      <c r="J93" s="163"/>
      <c r="K93" s="162"/>
      <c r="L93" s="163">
        <f>L91 - L92</f>
        <v>58870</v>
      </c>
      <c r="M93" s="163">
        <f t="shared" ref="M93" si="105">M91 - M92</f>
        <v>61147</v>
      </c>
      <c r="N93" s="163">
        <f t="shared" ref="N93" si="106">N91 - N92</f>
        <v>72130</v>
      </c>
      <c r="O93" s="163">
        <f t="shared" ref="O93" si="107">O91 - O92</f>
        <v>69974</v>
      </c>
      <c r="P93" s="163">
        <f t="shared" ref="P93" si="108">P91 - P92</f>
        <v>72564</v>
      </c>
      <c r="Q93" s="163">
        <f t="shared" ref="Q93" si="109">Q91 - Q92</f>
        <v>78062</v>
      </c>
      <c r="R93" s="163">
        <f t="shared" ref="R93" si="110">R91 - R92</f>
        <v>79688</v>
      </c>
      <c r="S93" s="163">
        <f t="shared" ref="S93" si="111">S91 - S92</f>
        <v>81770</v>
      </c>
      <c r="T93" s="163">
        <f t="shared" ref="T93" si="112">T91 - T92</f>
        <v>85102</v>
      </c>
      <c r="U93" s="163">
        <f t="shared" ref="U93" si="113">U91 - U92</f>
        <v>83737</v>
      </c>
      <c r="V93" s="163">
        <f t="shared" ref="V93" si="114">V91 - V92</f>
        <v>83593</v>
      </c>
      <c r="W93" s="163">
        <f t="shared" ref="W93" si="115">W91 - W92</f>
        <v>83548</v>
      </c>
      <c r="X93" s="163">
        <f t="shared" ref="X93" si="116">X91 - X92</f>
        <v>83260</v>
      </c>
      <c r="Y93" s="163">
        <f t="shared" ref="Y93" si="117">Y91 - Y92</f>
        <v>83198</v>
      </c>
    </row>
    <row r="94" spans="2:25" outlineLevel="1" x14ac:dyDescent="0.3">
      <c r="B94" s="89" t="s">
        <v>343</v>
      </c>
      <c r="D94" s="32">
        <f>ROUND(D30 * SUM(D$51:D$53), -2)</f>
        <v>585400</v>
      </c>
      <c r="E94" s="32">
        <f t="shared" ref="E94:G94" si="118">ROUND(E30 * SUM(E$51:E$53), -2)</f>
        <v>591300</v>
      </c>
      <c r="F94" s="32">
        <f t="shared" si="118"/>
        <v>631400</v>
      </c>
      <c r="G94" s="32">
        <f t="shared" si="118"/>
        <v>550000</v>
      </c>
      <c r="L94" s="32">
        <v>554428</v>
      </c>
      <c r="M94" s="32">
        <v>553918</v>
      </c>
      <c r="N94" s="32">
        <v>541502</v>
      </c>
      <c r="O94" s="32">
        <v>534056</v>
      </c>
      <c r="P94" s="32">
        <v>520614</v>
      </c>
      <c r="Q94" s="32">
        <v>489459</v>
      </c>
      <c r="R94" s="32">
        <v>469130</v>
      </c>
      <c r="S94" s="32">
        <v>459073</v>
      </c>
      <c r="T94" s="32">
        <v>446649</v>
      </c>
      <c r="U94" s="32">
        <v>436670</v>
      </c>
      <c r="V94" s="32">
        <v>439701</v>
      </c>
      <c r="W94" s="32">
        <v>442887</v>
      </c>
      <c r="X94" s="32">
        <v>439266</v>
      </c>
      <c r="Y94" s="32">
        <v>449449</v>
      </c>
    </row>
    <row r="95" spans="2:25" outlineLevel="1" x14ac:dyDescent="0.3">
      <c r="B95" s="89" t="s">
        <v>344</v>
      </c>
      <c r="D95" s="32">
        <f>D94 * D36</f>
        <v>351779.22546195739</v>
      </c>
      <c r="E95" s="32">
        <f t="shared" ref="E95:G95" si="119">E94 * E36</f>
        <v>353141.54354255367</v>
      </c>
      <c r="F95" s="32">
        <f t="shared" si="119"/>
        <v>374784.59940739645</v>
      </c>
      <c r="G95" s="32">
        <f t="shared" si="119"/>
        <v>322450.29658156476</v>
      </c>
      <c r="L95" s="32">
        <v>326340</v>
      </c>
      <c r="M95" s="32">
        <v>317704</v>
      </c>
      <c r="N95" s="32">
        <v>311155</v>
      </c>
      <c r="O95" s="32">
        <v>300983</v>
      </c>
      <c r="P95" s="32">
        <v>291750</v>
      </c>
      <c r="Q95" s="32">
        <v>273122</v>
      </c>
      <c r="R95" s="32">
        <v>262146</v>
      </c>
      <c r="S95" s="32">
        <v>251658</v>
      </c>
      <c r="T95" s="32">
        <v>241193</v>
      </c>
      <c r="U95" s="32">
        <v>235828</v>
      </c>
      <c r="V95" s="32">
        <v>235254</v>
      </c>
      <c r="W95" s="32">
        <v>229724</v>
      </c>
      <c r="X95" s="32">
        <v>224643</v>
      </c>
      <c r="Y95" s="32">
        <v>228941</v>
      </c>
    </row>
    <row r="96" spans="2:25" outlineLevel="1" x14ac:dyDescent="0.3">
      <c r="B96" s="161" t="s">
        <v>345</v>
      </c>
      <c r="C96" s="162"/>
      <c r="D96" s="163">
        <f t="shared" ref="D96:G96" si="120">D94 - D95</f>
        <v>233620.77453804261</v>
      </c>
      <c r="E96" s="163">
        <f t="shared" si="120"/>
        <v>238158.45645744633</v>
      </c>
      <c r="F96" s="163">
        <f t="shared" si="120"/>
        <v>256615.40059260355</v>
      </c>
      <c r="G96" s="163">
        <f t="shared" si="120"/>
        <v>227549.70341843524</v>
      </c>
      <c r="H96" s="163"/>
      <c r="I96" s="163"/>
      <c r="J96" s="163"/>
      <c r="K96" s="162"/>
      <c r="L96" s="163">
        <f>L94 - L95</f>
        <v>228088</v>
      </c>
      <c r="M96" s="163">
        <f t="shared" ref="M96" si="121">M94 - M95</f>
        <v>236214</v>
      </c>
      <c r="N96" s="163">
        <f t="shared" ref="N96" si="122">N94 - N95</f>
        <v>230347</v>
      </c>
      <c r="O96" s="163">
        <f t="shared" ref="O96" si="123">O94 - O95</f>
        <v>233073</v>
      </c>
      <c r="P96" s="163">
        <f t="shared" ref="P96" si="124">P94 - P95</f>
        <v>228864</v>
      </c>
      <c r="Q96" s="163">
        <f t="shared" ref="Q96" si="125">Q94 - Q95</f>
        <v>216337</v>
      </c>
      <c r="R96" s="163">
        <f t="shared" ref="R96" si="126">R94 - R95</f>
        <v>206984</v>
      </c>
      <c r="S96" s="163">
        <f t="shared" ref="S96" si="127">S94 - S95</f>
        <v>207415</v>
      </c>
      <c r="T96" s="163">
        <f t="shared" ref="T96" si="128">T94 - T95</f>
        <v>205456</v>
      </c>
      <c r="U96" s="163">
        <f t="shared" ref="U96" si="129">U94 - U95</f>
        <v>200842</v>
      </c>
      <c r="V96" s="163">
        <f t="shared" ref="V96" si="130">V94 - V95</f>
        <v>204447</v>
      </c>
      <c r="W96" s="163">
        <f t="shared" ref="W96" si="131">W94 - W95</f>
        <v>213163</v>
      </c>
      <c r="X96" s="163">
        <f t="shared" ref="X96" si="132">X94 - X95</f>
        <v>214623</v>
      </c>
      <c r="Y96" s="163">
        <f t="shared" ref="Y96" si="133">Y94 - Y95</f>
        <v>220508</v>
      </c>
    </row>
    <row r="97" spans="2:25" s="64" customFormat="1" x14ac:dyDescent="0.3">
      <c r="B97" s="87" t="s">
        <v>237</v>
      </c>
      <c r="C97" s="72"/>
      <c r="D97" s="82"/>
      <c r="E97" s="82"/>
      <c r="F97" s="82"/>
      <c r="G97" s="82"/>
      <c r="H97" s="146"/>
      <c r="I97" s="128"/>
      <c r="J97" s="110"/>
      <c r="K97" s="7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</row>
    <row r="98" spans="2:25" s="74" customFormat="1" outlineLevel="1" x14ac:dyDescent="0.3">
      <c r="B98" s="88" t="s">
        <v>240</v>
      </c>
      <c r="C98" s="29"/>
      <c r="D98" s="83">
        <f>ROUND(D39, -2)</f>
        <v>196400</v>
      </c>
      <c r="E98" s="83">
        <f t="shared" ref="E98:G98" si="134">ROUND(E39, -2)</f>
        <v>213300</v>
      </c>
      <c r="F98" s="83">
        <f t="shared" si="134"/>
        <v>230000</v>
      </c>
      <c r="G98" s="83">
        <f t="shared" si="134"/>
        <v>263400</v>
      </c>
      <c r="H98" s="145"/>
      <c r="I98" s="127"/>
      <c r="J98" s="109"/>
      <c r="K98" s="29"/>
      <c r="L98" s="83">
        <v>279802</v>
      </c>
      <c r="M98" s="83">
        <v>299522</v>
      </c>
      <c r="N98" s="83">
        <v>330508</v>
      </c>
      <c r="O98" s="83">
        <v>338805</v>
      </c>
      <c r="P98" s="83">
        <v>370282</v>
      </c>
      <c r="Q98" s="83">
        <v>0</v>
      </c>
      <c r="R98" s="83">
        <v>0</v>
      </c>
      <c r="S98" s="83">
        <v>0</v>
      </c>
      <c r="T98" s="83">
        <v>0</v>
      </c>
      <c r="U98" s="83">
        <v>0</v>
      </c>
      <c r="V98" s="83">
        <v>0</v>
      </c>
      <c r="W98" s="83">
        <v>0</v>
      </c>
      <c r="X98" s="83">
        <v>0</v>
      </c>
      <c r="Y98" s="83">
        <v>0</v>
      </c>
    </row>
    <row r="99" spans="2:25" outlineLevel="1" x14ac:dyDescent="0.3">
      <c r="B99" s="89" t="s">
        <v>242</v>
      </c>
      <c r="D99" s="32">
        <f t="shared" ref="D99:G99" si="135">ROUND(AVERAGE($L99:$M99), -2)</f>
        <v>288800</v>
      </c>
      <c r="E99" s="32">
        <f t="shared" si="135"/>
        <v>288800</v>
      </c>
      <c r="F99" s="32">
        <f t="shared" si="135"/>
        <v>288800</v>
      </c>
      <c r="G99" s="32">
        <f t="shared" si="135"/>
        <v>288800</v>
      </c>
      <c r="L99" s="32">
        <v>288801</v>
      </c>
      <c r="M99" s="32">
        <v>288801</v>
      </c>
      <c r="N99" s="32">
        <v>735782</v>
      </c>
      <c r="O99" s="32">
        <v>736202</v>
      </c>
      <c r="P99" s="32">
        <v>734558</v>
      </c>
      <c r="Q99" s="32">
        <v>703437</v>
      </c>
      <c r="R99" s="32">
        <v>626692</v>
      </c>
      <c r="S99" s="32">
        <v>625706</v>
      </c>
      <c r="T99" s="32">
        <v>618171</v>
      </c>
      <c r="U99" s="32">
        <v>527924</v>
      </c>
      <c r="V99" s="32">
        <v>526641</v>
      </c>
      <c r="W99" s="32">
        <v>528634</v>
      </c>
      <c r="X99" s="32">
        <v>524832</v>
      </c>
      <c r="Y99" s="32">
        <v>524687</v>
      </c>
    </row>
    <row r="100" spans="2:25" outlineLevel="1" x14ac:dyDescent="0.3">
      <c r="B100" s="89" t="s">
        <v>346</v>
      </c>
      <c r="D100" s="32">
        <f>ROUND(D31, -2)</f>
        <v>358700</v>
      </c>
      <c r="E100" s="32">
        <f t="shared" ref="E100:G100" si="136">ROUND(E31, -2)</f>
        <v>357200</v>
      </c>
      <c r="F100" s="32">
        <f t="shared" si="136"/>
        <v>355700</v>
      </c>
      <c r="G100" s="32">
        <f t="shared" si="136"/>
        <v>352700</v>
      </c>
      <c r="L100" s="32">
        <v>340428</v>
      </c>
      <c r="M100" s="32">
        <v>341277</v>
      </c>
      <c r="N100" s="32">
        <v>345605</v>
      </c>
      <c r="O100" s="32">
        <v>354506</v>
      </c>
      <c r="P100" s="32">
        <v>354867</v>
      </c>
      <c r="Q100" s="32">
        <v>351974</v>
      </c>
      <c r="R100" s="32">
        <v>339426</v>
      </c>
      <c r="S100" s="32">
        <v>339112</v>
      </c>
      <c r="T100" s="32">
        <v>338927</v>
      </c>
      <c r="U100" s="32">
        <v>323163</v>
      </c>
      <c r="V100" s="32">
        <v>323105</v>
      </c>
      <c r="W100" s="32">
        <v>324018</v>
      </c>
      <c r="X100" s="32">
        <v>322909</v>
      </c>
      <c r="Y100" s="32">
        <v>323167</v>
      </c>
    </row>
    <row r="101" spans="2:25" outlineLevel="1" x14ac:dyDescent="0.3">
      <c r="B101" s="89" t="s">
        <v>861</v>
      </c>
      <c r="D101" s="32">
        <f>ROUND(D100 * D37, -2)</f>
        <v>204300</v>
      </c>
      <c r="E101" s="32">
        <f t="shared" ref="E101:G101" si="137">ROUND(E100 * E37, -2)</f>
        <v>197000</v>
      </c>
      <c r="F101" s="32">
        <f t="shared" si="137"/>
        <v>189900</v>
      </c>
      <c r="G101" s="32">
        <f t="shared" si="137"/>
        <v>175700</v>
      </c>
      <c r="L101" s="32">
        <v>164324</v>
      </c>
      <c r="M101" s="32">
        <v>158008</v>
      </c>
      <c r="N101" s="32">
        <v>147389</v>
      </c>
      <c r="O101" s="32">
        <v>147440</v>
      </c>
      <c r="P101" s="32">
        <v>138308</v>
      </c>
      <c r="Q101" s="32">
        <v>121100</v>
      </c>
      <c r="R101" s="32">
        <v>114913</v>
      </c>
      <c r="S101" s="32">
        <v>107772</v>
      </c>
      <c r="T101" s="32">
        <v>93902</v>
      </c>
      <c r="U101" s="32">
        <v>88122</v>
      </c>
      <c r="V101" s="32">
        <v>82425</v>
      </c>
      <c r="W101" s="32">
        <v>68823</v>
      </c>
      <c r="X101" s="32">
        <v>61798</v>
      </c>
      <c r="Y101" s="32">
        <v>54932</v>
      </c>
    </row>
    <row r="102" spans="2:25" outlineLevel="1" x14ac:dyDescent="0.3">
      <c r="B102" s="161" t="s">
        <v>347</v>
      </c>
      <c r="C102" s="162"/>
      <c r="D102" s="163">
        <f t="shared" ref="D102:G102" si="138">D100 - D101</f>
        <v>154400</v>
      </c>
      <c r="E102" s="163">
        <f t="shared" si="138"/>
        <v>160200</v>
      </c>
      <c r="F102" s="163">
        <f t="shared" si="138"/>
        <v>165800</v>
      </c>
      <c r="G102" s="163">
        <f t="shared" si="138"/>
        <v>177000</v>
      </c>
      <c r="H102" s="163"/>
      <c r="I102" s="163"/>
      <c r="J102" s="163"/>
      <c r="K102" s="162"/>
      <c r="L102" s="163">
        <f>L100 - L101</f>
        <v>176104</v>
      </c>
      <c r="M102" s="163">
        <f t="shared" ref="M102" si="139">M100 - M101</f>
        <v>183269</v>
      </c>
      <c r="N102" s="163">
        <f t="shared" ref="N102" si="140">N100 - N101</f>
        <v>198216</v>
      </c>
      <c r="O102" s="163">
        <f t="shared" ref="O102" si="141">O100 - O101</f>
        <v>207066</v>
      </c>
      <c r="P102" s="163">
        <f t="shared" ref="P102" si="142">P100 - P101</f>
        <v>216559</v>
      </c>
      <c r="Q102" s="163">
        <f t="shared" ref="Q102" si="143">Q100 - Q101</f>
        <v>230874</v>
      </c>
      <c r="R102" s="163">
        <f t="shared" ref="R102" si="144">R100 - R101</f>
        <v>224513</v>
      </c>
      <c r="S102" s="163">
        <f t="shared" ref="S102" si="145">S100 - S101</f>
        <v>231340</v>
      </c>
      <c r="T102" s="163">
        <f t="shared" ref="T102" si="146">T100 - T101</f>
        <v>245025</v>
      </c>
      <c r="U102" s="163">
        <f t="shared" ref="U102" si="147">U100 - U101</f>
        <v>235041</v>
      </c>
      <c r="V102" s="163">
        <f t="shared" ref="V102" si="148">V100 - V101</f>
        <v>240680</v>
      </c>
      <c r="W102" s="163">
        <f t="shared" ref="W102" si="149">W100 - W101</f>
        <v>255195</v>
      </c>
      <c r="X102" s="163">
        <f t="shared" ref="X102" si="150">X100 - X101</f>
        <v>261111</v>
      </c>
      <c r="Y102" s="163">
        <f t="shared" ref="Y102" si="151">Y100 - Y101</f>
        <v>268235</v>
      </c>
    </row>
    <row r="103" spans="2:25" outlineLevel="1" x14ac:dyDescent="0.3">
      <c r="B103" s="89" t="s">
        <v>348</v>
      </c>
      <c r="D103" s="32">
        <f t="shared" ref="D103:G108" si="152">ROUND(AVERAGE($L103:$M103), -2)</f>
        <v>60200</v>
      </c>
      <c r="E103" s="32">
        <f t="shared" si="152"/>
        <v>60200</v>
      </c>
      <c r="F103" s="32">
        <f t="shared" si="152"/>
        <v>60200</v>
      </c>
      <c r="G103" s="32">
        <f t="shared" si="152"/>
        <v>60200</v>
      </c>
      <c r="L103" s="32">
        <v>57487</v>
      </c>
      <c r="M103" s="32">
        <v>62827</v>
      </c>
      <c r="N103" s="32">
        <v>15931</v>
      </c>
      <c r="O103" s="32">
        <v>11921</v>
      </c>
      <c r="P103" s="32">
        <v>13401</v>
      </c>
      <c r="Q103" s="32">
        <v>29724</v>
      </c>
      <c r="R103" s="32">
        <v>45781</v>
      </c>
      <c r="S103" s="32">
        <v>31809</v>
      </c>
      <c r="T103" s="34">
        <v>0</v>
      </c>
      <c r="U103" s="34">
        <v>0</v>
      </c>
      <c r="V103" s="34">
        <v>0</v>
      </c>
      <c r="W103" s="32">
        <v>13605</v>
      </c>
      <c r="X103" s="32">
        <v>14384</v>
      </c>
      <c r="Y103" s="32">
        <v>30034</v>
      </c>
    </row>
    <row r="104" spans="2:25" outlineLevel="1" x14ac:dyDescent="0.3">
      <c r="B104" s="89" t="s">
        <v>349</v>
      </c>
      <c r="D104" s="32">
        <f t="shared" si="152"/>
        <v>45300</v>
      </c>
      <c r="E104" s="32">
        <f t="shared" si="152"/>
        <v>45300</v>
      </c>
      <c r="F104" s="32">
        <f t="shared" si="152"/>
        <v>45300</v>
      </c>
      <c r="G104" s="32">
        <f t="shared" si="152"/>
        <v>45300</v>
      </c>
      <c r="L104" s="32">
        <v>49134</v>
      </c>
      <c r="M104" s="32">
        <v>41427</v>
      </c>
      <c r="N104" s="32">
        <v>37658</v>
      </c>
      <c r="O104" s="32">
        <v>32937</v>
      </c>
      <c r="P104" s="32">
        <v>27467</v>
      </c>
      <c r="Q104" s="32">
        <v>37981</v>
      </c>
      <c r="R104" s="32">
        <v>39023</v>
      </c>
      <c r="S104" s="32">
        <v>38692</v>
      </c>
      <c r="T104" s="34">
        <v>0</v>
      </c>
      <c r="U104" s="34">
        <v>0</v>
      </c>
      <c r="V104" s="34">
        <v>0</v>
      </c>
      <c r="W104" s="34">
        <v>0</v>
      </c>
      <c r="X104" s="34">
        <v>0</v>
      </c>
      <c r="Y104" s="34">
        <v>0</v>
      </c>
    </row>
    <row r="105" spans="2:25" outlineLevel="1" x14ac:dyDescent="0.3">
      <c r="B105" s="89" t="s">
        <v>350</v>
      </c>
      <c r="D105" s="32">
        <f t="shared" si="152"/>
        <v>26700</v>
      </c>
      <c r="E105" s="32">
        <f t="shared" si="152"/>
        <v>26700</v>
      </c>
      <c r="F105" s="32">
        <f t="shared" si="152"/>
        <v>26700</v>
      </c>
      <c r="G105" s="32">
        <f t="shared" si="152"/>
        <v>26700</v>
      </c>
      <c r="L105" s="32">
        <v>29086</v>
      </c>
      <c r="M105" s="32">
        <v>24328</v>
      </c>
      <c r="N105" s="32">
        <v>26535</v>
      </c>
      <c r="O105" s="32">
        <v>26400</v>
      </c>
      <c r="P105" s="32">
        <v>24072</v>
      </c>
      <c r="Q105" s="32">
        <v>33370</v>
      </c>
      <c r="R105" s="32">
        <v>33444</v>
      </c>
      <c r="S105" s="32">
        <v>32722</v>
      </c>
      <c r="T105" s="34">
        <v>0</v>
      </c>
      <c r="U105" s="34">
        <v>0</v>
      </c>
      <c r="V105" s="34">
        <v>0</v>
      </c>
      <c r="W105" s="34">
        <v>0</v>
      </c>
      <c r="X105" s="34">
        <v>0</v>
      </c>
      <c r="Y105" s="34">
        <v>0</v>
      </c>
    </row>
    <row r="106" spans="2:25" outlineLevel="1" x14ac:dyDescent="0.3">
      <c r="B106" s="89" t="s">
        <v>351</v>
      </c>
      <c r="D106" s="32">
        <f t="shared" si="152"/>
        <v>9500</v>
      </c>
      <c r="E106" s="32">
        <f t="shared" si="152"/>
        <v>9500</v>
      </c>
      <c r="F106" s="32">
        <f t="shared" si="152"/>
        <v>9500</v>
      </c>
      <c r="G106" s="32">
        <f t="shared" si="152"/>
        <v>9500</v>
      </c>
      <c r="L106" s="32">
        <v>9193</v>
      </c>
      <c r="M106" s="32">
        <v>9872</v>
      </c>
      <c r="N106" s="32">
        <v>10017</v>
      </c>
      <c r="O106" s="32">
        <v>8992</v>
      </c>
      <c r="P106" s="32">
        <v>8974</v>
      </c>
      <c r="Q106" s="32">
        <v>9626</v>
      </c>
      <c r="R106" s="32">
        <v>9698</v>
      </c>
      <c r="S106" s="32">
        <v>9853</v>
      </c>
      <c r="T106" s="34">
        <v>0</v>
      </c>
      <c r="U106" s="34">
        <v>0</v>
      </c>
      <c r="V106" s="34">
        <v>0</v>
      </c>
      <c r="W106" s="34">
        <v>0</v>
      </c>
      <c r="X106" s="34">
        <v>0</v>
      </c>
      <c r="Y106" s="34">
        <v>0</v>
      </c>
    </row>
    <row r="107" spans="2:25" outlineLevel="1" x14ac:dyDescent="0.3">
      <c r="B107" s="89" t="s">
        <v>352</v>
      </c>
      <c r="D107" s="32">
        <f t="shared" si="152"/>
        <v>800</v>
      </c>
      <c r="E107" s="32">
        <f t="shared" si="152"/>
        <v>800</v>
      </c>
      <c r="F107" s="32">
        <f t="shared" si="152"/>
        <v>800</v>
      </c>
      <c r="G107" s="32">
        <f t="shared" si="152"/>
        <v>800</v>
      </c>
      <c r="L107" s="32">
        <v>826</v>
      </c>
      <c r="M107" s="32">
        <v>826</v>
      </c>
      <c r="N107" s="32">
        <v>8761</v>
      </c>
      <c r="O107" s="32">
        <v>8761</v>
      </c>
      <c r="P107" s="32">
        <v>8761</v>
      </c>
      <c r="Q107" s="32">
        <v>7556</v>
      </c>
      <c r="R107" s="32">
        <v>7556</v>
      </c>
      <c r="S107" s="32">
        <v>7556</v>
      </c>
      <c r="T107" s="34">
        <v>0</v>
      </c>
      <c r="U107" s="34">
        <v>0</v>
      </c>
      <c r="V107" s="34">
        <v>0</v>
      </c>
      <c r="W107" s="34">
        <v>0</v>
      </c>
      <c r="X107" s="34">
        <v>0</v>
      </c>
      <c r="Y107" s="34">
        <v>0</v>
      </c>
    </row>
    <row r="108" spans="2:25" outlineLevel="1" x14ac:dyDescent="0.3">
      <c r="B108" s="89" t="s">
        <v>243</v>
      </c>
      <c r="D108" s="32">
        <f t="shared" si="152"/>
        <v>27200</v>
      </c>
      <c r="E108" s="32">
        <f t="shared" si="152"/>
        <v>27200</v>
      </c>
      <c r="F108" s="32">
        <f t="shared" si="152"/>
        <v>27200</v>
      </c>
      <c r="G108" s="32">
        <f t="shared" si="152"/>
        <v>27200</v>
      </c>
      <c r="L108" s="32">
        <v>25681</v>
      </c>
      <c r="M108" s="32">
        <v>28759</v>
      </c>
      <c r="N108" s="32">
        <v>28512</v>
      </c>
      <c r="O108" s="32">
        <v>27844</v>
      </c>
      <c r="P108" s="32">
        <v>23207</v>
      </c>
      <c r="Q108" s="32">
        <v>27822</v>
      </c>
      <c r="R108" s="32">
        <v>29511</v>
      </c>
      <c r="S108" s="32">
        <v>28741</v>
      </c>
      <c r="T108" s="34">
        <v>0</v>
      </c>
      <c r="U108" s="34">
        <v>0</v>
      </c>
      <c r="V108" s="34">
        <v>0</v>
      </c>
      <c r="W108" s="34">
        <v>0</v>
      </c>
      <c r="X108" s="34">
        <v>0</v>
      </c>
      <c r="Y108" s="34">
        <v>0</v>
      </c>
    </row>
    <row r="109" spans="2:25" s="39" customFormat="1" outlineLevel="1" x14ac:dyDescent="0.3">
      <c r="B109" s="166" t="s">
        <v>353</v>
      </c>
      <c r="C109" s="25"/>
      <c r="D109" s="167">
        <f t="shared" ref="D109:G109" si="153">SUM(D104:D108)</f>
        <v>109500</v>
      </c>
      <c r="E109" s="167">
        <f t="shared" si="153"/>
        <v>109500</v>
      </c>
      <c r="F109" s="167">
        <f t="shared" si="153"/>
        <v>109500</v>
      </c>
      <c r="G109" s="167">
        <f t="shared" si="153"/>
        <v>109500</v>
      </c>
      <c r="H109" s="139"/>
      <c r="I109" s="121"/>
      <c r="J109" s="103"/>
      <c r="K109" s="25"/>
      <c r="L109" s="168">
        <f>SUM(L104:L108)</f>
        <v>113920</v>
      </c>
      <c r="M109" s="53">
        <f t="shared" ref="M109:Y109" si="154">SUM(M104:M108)</f>
        <v>105212</v>
      </c>
      <c r="N109" s="53">
        <f t="shared" si="154"/>
        <v>111483</v>
      </c>
      <c r="O109" s="53">
        <f t="shared" si="154"/>
        <v>104934</v>
      </c>
      <c r="P109" s="53">
        <f t="shared" si="154"/>
        <v>92481</v>
      </c>
      <c r="Q109" s="53">
        <f t="shared" si="154"/>
        <v>116355</v>
      </c>
      <c r="R109" s="53">
        <f t="shared" si="154"/>
        <v>119232</v>
      </c>
      <c r="S109" s="53">
        <f t="shared" si="154"/>
        <v>117564</v>
      </c>
      <c r="T109" s="53">
        <f t="shared" si="154"/>
        <v>0</v>
      </c>
      <c r="U109" s="53">
        <f t="shared" si="154"/>
        <v>0</v>
      </c>
      <c r="V109" s="53">
        <f t="shared" si="154"/>
        <v>0</v>
      </c>
      <c r="W109" s="53">
        <f t="shared" si="154"/>
        <v>0</v>
      </c>
      <c r="X109" s="53">
        <f t="shared" si="154"/>
        <v>0</v>
      </c>
      <c r="Y109" s="53">
        <f t="shared" si="154"/>
        <v>0</v>
      </c>
    </row>
    <row r="110" spans="2:25" s="39" customFormat="1" x14ac:dyDescent="0.3">
      <c r="B110" s="76" t="s">
        <v>244</v>
      </c>
      <c r="C110" s="25"/>
      <c r="D110" s="164">
        <f t="shared" ref="D110:F110" si="155">SUM(D98:D99,D102:D108,D93,D90,D87,D83,D84,D96) - (SUM(D98:D99,D102:D108,D93,D90,D87,D83,D84,D96) - SUM(D126,D135))</f>
        <v>3546063.4365762863</v>
      </c>
      <c r="E110" s="164">
        <f t="shared" si="155"/>
        <v>3350702.6969391862</v>
      </c>
      <c r="F110" s="164">
        <f t="shared" si="155"/>
        <v>3154711.0215634876</v>
      </c>
      <c r="G110" s="164">
        <f>SUM(G98:G99,G102:G108,G93,G90,G87,G83,G84,G96) - (SUM(G98:G99,G102:G108,G93,G90,G87,G83,G84,G96) - SUM(G126,G135))</f>
        <v>2930840.0616225451</v>
      </c>
      <c r="H110" s="141"/>
      <c r="I110" s="123"/>
      <c r="J110" s="105"/>
      <c r="K110" s="25"/>
      <c r="L110" s="77">
        <f>SUM(L98:L99,L102:L108,L93,L90,L87,L83,L84,L96)</f>
        <v>2715702</v>
      </c>
      <c r="M110" s="77">
        <f t="shared" ref="M110:Y110" si="156">SUM(M98:M99,M102:M108,M93,M90,M87,M83,M84,M96)</f>
        <v>3152955</v>
      </c>
      <c r="N110" s="77">
        <f t="shared" si="156"/>
        <v>3219620</v>
      </c>
      <c r="O110" s="77">
        <f t="shared" si="156"/>
        <v>3180198</v>
      </c>
      <c r="P110" s="77">
        <f t="shared" si="156"/>
        <v>3237966</v>
      </c>
      <c r="Q110" s="77">
        <f t="shared" si="156"/>
        <v>2698898</v>
      </c>
      <c r="R110" s="77">
        <f t="shared" si="156"/>
        <v>2618950</v>
      </c>
      <c r="S110" s="77">
        <f t="shared" si="156"/>
        <v>2719009</v>
      </c>
      <c r="T110" s="77">
        <f t="shared" si="156"/>
        <v>2443330</v>
      </c>
      <c r="U110" s="77">
        <f t="shared" si="156"/>
        <v>2409189</v>
      </c>
      <c r="V110" s="77">
        <f t="shared" si="156"/>
        <v>2503554</v>
      </c>
      <c r="W110" s="77">
        <f t="shared" si="156"/>
        <v>2479344</v>
      </c>
      <c r="X110" s="77">
        <f t="shared" si="156"/>
        <v>2473038</v>
      </c>
      <c r="Y110" s="77">
        <f t="shared" si="156"/>
        <v>2455111</v>
      </c>
    </row>
    <row r="111" spans="2:25" s="39" customFormat="1" ht="6.9" customHeight="1" x14ac:dyDescent="0.3">
      <c r="B111" s="78"/>
      <c r="C111" s="25"/>
      <c r="D111" s="79"/>
      <c r="E111" s="79"/>
      <c r="F111" s="79"/>
      <c r="G111" s="79"/>
      <c r="H111" s="142"/>
      <c r="I111" s="124"/>
      <c r="J111" s="106"/>
      <c r="K111" s="25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</row>
    <row r="112" spans="2:25" s="64" customFormat="1" x14ac:dyDescent="0.3">
      <c r="B112" s="87" t="s">
        <v>245</v>
      </c>
      <c r="C112" s="72"/>
      <c r="D112" s="82"/>
      <c r="E112" s="82"/>
      <c r="F112" s="82"/>
      <c r="G112" s="82"/>
      <c r="H112" s="146"/>
      <c r="I112" s="128"/>
      <c r="J112" s="110"/>
      <c r="K112" s="7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</row>
    <row r="113" spans="2:25" s="74" customFormat="1" outlineLevel="1" x14ac:dyDescent="0.3">
      <c r="B113" s="88" t="s">
        <v>246</v>
      </c>
      <c r="C113" s="29"/>
      <c r="D113" s="83">
        <f>D41 * SUM(D$51:D$53)</f>
        <v>63309.815675983285</v>
      </c>
      <c r="E113" s="83">
        <f t="shared" ref="E113:G113" si="157">E41 * SUM(E$51:E$53)</f>
        <v>63943.290233742438</v>
      </c>
      <c r="F113" s="83">
        <f t="shared" si="157"/>
        <v>68281.657320934362</v>
      </c>
      <c r="G113" s="83">
        <f t="shared" si="157"/>
        <v>59480.946406802454</v>
      </c>
      <c r="H113" s="145"/>
      <c r="I113" s="127"/>
      <c r="J113" s="109"/>
      <c r="K113" s="29"/>
      <c r="L113" s="83">
        <v>56680</v>
      </c>
      <c r="M113" s="83">
        <v>48172</v>
      </c>
      <c r="N113" s="83">
        <v>72190</v>
      </c>
      <c r="O113" s="83">
        <v>57414</v>
      </c>
      <c r="P113" s="83">
        <v>71751</v>
      </c>
      <c r="Q113" s="83">
        <v>98460</v>
      </c>
      <c r="R113" s="83">
        <v>62314</v>
      </c>
      <c r="S113" s="83">
        <v>68419</v>
      </c>
      <c r="T113" s="83">
        <v>0</v>
      </c>
      <c r="U113" s="83">
        <v>0</v>
      </c>
      <c r="V113" s="83">
        <v>0</v>
      </c>
      <c r="W113" s="83">
        <v>0</v>
      </c>
      <c r="X113" s="83">
        <v>0</v>
      </c>
      <c r="Y113" s="83">
        <v>0</v>
      </c>
    </row>
    <row r="114" spans="2:25" outlineLevel="1" x14ac:dyDescent="0.3">
      <c r="B114" s="89" t="s">
        <v>354</v>
      </c>
      <c r="D114" s="32">
        <f t="shared" ref="D114:G116" si="158">ROUND(AVERAGE($L114:$O114), -2)</f>
        <v>47000</v>
      </c>
      <c r="E114" s="32">
        <f t="shared" si="158"/>
        <v>47000</v>
      </c>
      <c r="F114" s="32">
        <f t="shared" si="158"/>
        <v>47000</v>
      </c>
      <c r="G114" s="32">
        <f t="shared" si="158"/>
        <v>47000</v>
      </c>
      <c r="L114" s="32">
        <v>54314</v>
      </c>
      <c r="M114" s="32">
        <v>50871</v>
      </c>
      <c r="N114" s="32">
        <v>41872</v>
      </c>
      <c r="O114" s="32">
        <v>40745</v>
      </c>
      <c r="P114" s="32">
        <v>39181</v>
      </c>
      <c r="Q114" s="32">
        <v>42268</v>
      </c>
      <c r="R114" s="32">
        <v>39859</v>
      </c>
      <c r="S114" s="32">
        <v>40799</v>
      </c>
      <c r="T114" s="34">
        <v>0</v>
      </c>
      <c r="U114" s="34">
        <v>0</v>
      </c>
      <c r="V114" s="34">
        <v>0</v>
      </c>
      <c r="W114" s="34">
        <v>0</v>
      </c>
      <c r="X114" s="34">
        <v>0</v>
      </c>
      <c r="Y114" s="34">
        <v>0</v>
      </c>
    </row>
    <row r="115" spans="2:25" outlineLevel="1" x14ac:dyDescent="0.3">
      <c r="B115" s="89" t="s">
        <v>355</v>
      </c>
      <c r="D115" s="32">
        <f t="shared" si="158"/>
        <v>45600</v>
      </c>
      <c r="E115" s="32">
        <f t="shared" si="158"/>
        <v>45600</v>
      </c>
      <c r="F115" s="32">
        <f t="shared" si="158"/>
        <v>45600</v>
      </c>
      <c r="G115" s="32">
        <f t="shared" si="158"/>
        <v>45600</v>
      </c>
      <c r="L115" s="32">
        <v>53636</v>
      </c>
      <c r="M115" s="32">
        <v>39492</v>
      </c>
      <c r="N115" s="32">
        <v>49052</v>
      </c>
      <c r="O115" s="32">
        <v>40125</v>
      </c>
      <c r="P115" s="32">
        <v>45832</v>
      </c>
      <c r="Q115" s="32">
        <v>49849</v>
      </c>
      <c r="R115" s="32">
        <v>41903</v>
      </c>
      <c r="S115" s="32">
        <v>46834</v>
      </c>
      <c r="T115" s="34">
        <v>0</v>
      </c>
      <c r="U115" s="34">
        <v>0</v>
      </c>
      <c r="V115" s="34">
        <v>0</v>
      </c>
      <c r="W115" s="34">
        <v>0</v>
      </c>
      <c r="X115" s="34">
        <v>0</v>
      </c>
      <c r="Y115" s="34">
        <v>0</v>
      </c>
    </row>
    <row r="116" spans="2:25" outlineLevel="1" x14ac:dyDescent="0.3">
      <c r="B116" s="89" t="s">
        <v>356</v>
      </c>
      <c r="D116" s="32">
        <f t="shared" si="158"/>
        <v>31400</v>
      </c>
      <c r="E116" s="32">
        <f t="shared" si="158"/>
        <v>31400</v>
      </c>
      <c r="F116" s="32">
        <f t="shared" si="158"/>
        <v>31400</v>
      </c>
      <c r="G116" s="32">
        <f t="shared" si="158"/>
        <v>31400</v>
      </c>
      <c r="L116" s="32">
        <v>34394</v>
      </c>
      <c r="M116" s="32">
        <v>31314</v>
      </c>
      <c r="N116" s="32">
        <v>32337</v>
      </c>
      <c r="O116" s="32">
        <v>27379</v>
      </c>
      <c r="P116" s="32">
        <v>30749</v>
      </c>
      <c r="Q116" s="32">
        <v>31184</v>
      </c>
      <c r="R116" s="32">
        <v>31599</v>
      </c>
      <c r="S116" s="32">
        <v>33224</v>
      </c>
      <c r="T116" s="34">
        <v>0</v>
      </c>
      <c r="U116" s="34">
        <v>0</v>
      </c>
      <c r="V116" s="34">
        <v>0</v>
      </c>
      <c r="W116" s="34">
        <v>0</v>
      </c>
      <c r="X116" s="34">
        <v>0</v>
      </c>
      <c r="Y116" s="34">
        <v>0</v>
      </c>
    </row>
    <row r="117" spans="2:25" outlineLevel="1" x14ac:dyDescent="0.3">
      <c r="B117" s="89" t="s">
        <v>357</v>
      </c>
      <c r="D117" s="34">
        <v>0</v>
      </c>
      <c r="E117" s="34">
        <v>0</v>
      </c>
      <c r="F117" s="34">
        <v>0</v>
      </c>
      <c r="G117" s="34">
        <v>0</v>
      </c>
      <c r="H117" s="34"/>
      <c r="I117" s="34"/>
      <c r="J117" s="34"/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2">
        <v>27454</v>
      </c>
      <c r="R117" s="32">
        <v>27816</v>
      </c>
      <c r="S117" s="32">
        <v>29535</v>
      </c>
      <c r="T117" s="34">
        <v>0</v>
      </c>
      <c r="U117" s="34">
        <v>0</v>
      </c>
      <c r="V117" s="34">
        <v>0</v>
      </c>
      <c r="W117" s="34">
        <v>0</v>
      </c>
      <c r="X117" s="34">
        <v>0</v>
      </c>
      <c r="Y117" s="34">
        <v>0</v>
      </c>
    </row>
    <row r="118" spans="2:25" outlineLevel="1" x14ac:dyDescent="0.3">
      <c r="B118" s="89" t="s">
        <v>358</v>
      </c>
      <c r="D118" s="32">
        <f>ROUND(D44, -2)</f>
        <v>41600</v>
      </c>
      <c r="E118" s="32">
        <f t="shared" ref="E118:G118" si="159">ROUND(E44, -2)</f>
        <v>43700</v>
      </c>
      <c r="F118" s="32">
        <f t="shared" si="159"/>
        <v>45700</v>
      </c>
      <c r="G118" s="32">
        <f t="shared" si="159"/>
        <v>49900</v>
      </c>
      <c r="L118" s="32">
        <v>50158</v>
      </c>
      <c r="M118" s="32">
        <v>55913</v>
      </c>
      <c r="N118" s="32">
        <v>58783</v>
      </c>
      <c r="O118" s="32">
        <v>61250</v>
      </c>
      <c r="P118" s="32">
        <v>59266</v>
      </c>
      <c r="Q118" s="32">
        <v>69181</v>
      </c>
      <c r="R118" s="32">
        <v>67472</v>
      </c>
      <c r="S118" s="32">
        <v>70200</v>
      </c>
      <c r="T118" s="34">
        <v>0</v>
      </c>
      <c r="U118" s="34">
        <v>0</v>
      </c>
      <c r="V118" s="34">
        <v>0</v>
      </c>
      <c r="W118" s="34">
        <v>0</v>
      </c>
      <c r="X118" s="34">
        <v>0</v>
      </c>
      <c r="Y118" s="34">
        <v>0</v>
      </c>
    </row>
    <row r="119" spans="2:25" s="74" customFormat="1" outlineLevel="1" x14ac:dyDescent="0.3">
      <c r="B119" s="239" t="s">
        <v>359</v>
      </c>
      <c r="C119" s="29"/>
      <c r="D119" s="240">
        <f t="shared" ref="D119" si="160">SUM(D113:D118)</f>
        <v>228909.81567598329</v>
      </c>
      <c r="E119" s="240">
        <f t="shared" ref="E119" si="161">SUM(E113:E118)</f>
        <v>231643.29023374245</v>
      </c>
      <c r="F119" s="240">
        <f t="shared" ref="F119" si="162">SUM(F113:F118)</f>
        <v>237981.65732093435</v>
      </c>
      <c r="G119" s="240">
        <f t="shared" ref="G119" si="163">SUM(G113:G118)</f>
        <v>233380.94640680245</v>
      </c>
      <c r="H119" s="241"/>
      <c r="I119" s="242"/>
      <c r="J119" s="243"/>
      <c r="K119" s="29"/>
      <c r="L119" s="240">
        <f t="shared" ref="L119:R119" si="164">SUM(L113:L118)</f>
        <v>249182</v>
      </c>
      <c r="M119" s="240">
        <f t="shared" si="164"/>
        <v>225762</v>
      </c>
      <c r="N119" s="240">
        <f t="shared" si="164"/>
        <v>254234</v>
      </c>
      <c r="O119" s="240">
        <f t="shared" si="164"/>
        <v>226913</v>
      </c>
      <c r="P119" s="240">
        <f t="shared" si="164"/>
        <v>246779</v>
      </c>
      <c r="Q119" s="240">
        <f t="shared" si="164"/>
        <v>318396</v>
      </c>
      <c r="R119" s="240">
        <f t="shared" si="164"/>
        <v>270963</v>
      </c>
      <c r="S119" s="240">
        <f>SUM(S113:S118)</f>
        <v>289011</v>
      </c>
      <c r="T119" s="244">
        <v>326026</v>
      </c>
      <c r="U119" s="244">
        <v>281920</v>
      </c>
      <c r="V119" s="244">
        <v>307052</v>
      </c>
      <c r="W119" s="244">
        <v>263657</v>
      </c>
      <c r="X119" s="244">
        <v>234803</v>
      </c>
      <c r="Y119" s="244">
        <v>244491</v>
      </c>
    </row>
    <row r="120" spans="2:25" s="74" customFormat="1" outlineLevel="1" x14ac:dyDescent="0.3">
      <c r="B120" s="156" t="s">
        <v>360</v>
      </c>
      <c r="C120" s="29"/>
      <c r="D120" s="157">
        <v>0</v>
      </c>
      <c r="E120" s="157">
        <v>0</v>
      </c>
      <c r="F120" s="157">
        <v>0</v>
      </c>
      <c r="G120" s="157">
        <v>0</v>
      </c>
      <c r="H120" s="158"/>
      <c r="I120" s="159"/>
      <c r="J120" s="160"/>
      <c r="K120" s="29"/>
      <c r="L120" s="157">
        <v>0</v>
      </c>
      <c r="M120" s="157">
        <v>175000</v>
      </c>
      <c r="N120" s="157">
        <v>0</v>
      </c>
      <c r="O120" s="157">
        <v>0</v>
      </c>
      <c r="P120" s="157">
        <v>0</v>
      </c>
      <c r="Q120" s="157">
        <v>0</v>
      </c>
      <c r="R120" s="157">
        <v>0</v>
      </c>
      <c r="S120" s="157">
        <v>0</v>
      </c>
      <c r="T120" s="157">
        <v>0</v>
      </c>
      <c r="U120" s="157">
        <v>0</v>
      </c>
      <c r="V120" s="157">
        <v>0</v>
      </c>
      <c r="W120" s="157">
        <v>0</v>
      </c>
      <c r="X120" s="157">
        <v>0</v>
      </c>
      <c r="Y120" s="157">
        <v>0</v>
      </c>
    </row>
    <row r="121" spans="2:25" s="64" customFormat="1" x14ac:dyDescent="0.3">
      <c r="B121" s="87" t="s">
        <v>254</v>
      </c>
      <c r="C121" s="72"/>
      <c r="D121" s="82"/>
      <c r="E121" s="82"/>
      <c r="F121" s="82"/>
      <c r="G121" s="82"/>
      <c r="H121" s="146"/>
      <c r="I121" s="128"/>
      <c r="J121" s="110"/>
      <c r="K121" s="7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</row>
    <row r="122" spans="2:25" s="74" customFormat="1" outlineLevel="1" x14ac:dyDescent="0.3">
      <c r="B122" s="88" t="s">
        <v>361</v>
      </c>
      <c r="C122" s="29"/>
      <c r="D122" s="165">
        <f t="shared" ref="D122:G122" si="165">ROUND(AVERAGE($L$122:$M$122), -2)</f>
        <v>226100</v>
      </c>
      <c r="E122" s="165">
        <f t="shared" si="165"/>
        <v>226100</v>
      </c>
      <c r="F122" s="165">
        <f t="shared" si="165"/>
        <v>226100</v>
      </c>
      <c r="G122" s="165">
        <f t="shared" si="165"/>
        <v>226100</v>
      </c>
      <c r="H122" s="145"/>
      <c r="I122" s="127"/>
      <c r="J122" s="109"/>
      <c r="K122" s="29"/>
      <c r="L122" s="83">
        <v>234380</v>
      </c>
      <c r="M122" s="83">
        <v>217768</v>
      </c>
      <c r="N122" s="83">
        <v>297110</v>
      </c>
      <c r="O122" s="83">
        <v>288291</v>
      </c>
      <c r="P122" s="83">
        <v>279224</v>
      </c>
      <c r="Q122" s="83">
        <v>248102</v>
      </c>
      <c r="R122" s="83">
        <v>257620</v>
      </c>
      <c r="S122" s="83">
        <v>241137</v>
      </c>
      <c r="T122" s="83">
        <v>259146</v>
      </c>
      <c r="U122" s="83">
        <v>260032</v>
      </c>
      <c r="V122" s="83">
        <v>268074</v>
      </c>
      <c r="W122" s="83">
        <v>271566</v>
      </c>
      <c r="X122" s="83">
        <v>295844</v>
      </c>
      <c r="Y122" s="83">
        <v>306671</v>
      </c>
    </row>
    <row r="123" spans="2:25" outlineLevel="1" x14ac:dyDescent="0.3">
      <c r="B123" s="89" t="s">
        <v>362</v>
      </c>
      <c r="D123" s="32">
        <f t="shared" ref="D123:G123" si="166">ROUND(AVERAGE($L$123:$O$123), -2)</f>
        <v>83400</v>
      </c>
      <c r="E123" s="32">
        <f t="shared" si="166"/>
        <v>83400</v>
      </c>
      <c r="F123" s="32">
        <f t="shared" si="166"/>
        <v>83400</v>
      </c>
      <c r="G123" s="32">
        <f t="shared" si="166"/>
        <v>83400</v>
      </c>
      <c r="L123" s="32">
        <v>89435</v>
      </c>
      <c r="M123" s="32">
        <v>84551</v>
      </c>
      <c r="N123" s="32">
        <v>79071</v>
      </c>
      <c r="O123" s="32">
        <v>80680</v>
      </c>
      <c r="P123" s="32">
        <v>83610</v>
      </c>
      <c r="Q123" s="32">
        <v>71554</v>
      </c>
      <c r="R123" s="32">
        <v>72613</v>
      </c>
      <c r="S123" s="32">
        <v>74150</v>
      </c>
      <c r="T123" s="32">
        <v>63185</v>
      </c>
      <c r="U123" s="32">
        <v>62992</v>
      </c>
      <c r="V123" s="32">
        <v>64449</v>
      </c>
      <c r="W123" s="32">
        <v>62901</v>
      </c>
      <c r="X123" s="32">
        <v>57645</v>
      </c>
      <c r="Y123" s="32">
        <v>61642</v>
      </c>
    </row>
    <row r="124" spans="2:25" outlineLevel="1" x14ac:dyDescent="0.3">
      <c r="B124" s="89" t="s">
        <v>248</v>
      </c>
      <c r="D124" s="32">
        <f>ROUND(D43, -3)</f>
        <v>274000</v>
      </c>
      <c r="E124" s="32">
        <f t="shared" ref="E124:G124" si="167">ROUND(E43, -3)</f>
        <v>287000</v>
      </c>
      <c r="F124" s="32">
        <f t="shared" si="167"/>
        <v>300000</v>
      </c>
      <c r="G124" s="32">
        <f t="shared" si="167"/>
        <v>325000</v>
      </c>
      <c r="L124" s="32">
        <v>335705</v>
      </c>
      <c r="M124" s="32">
        <v>357191</v>
      </c>
      <c r="N124" s="32">
        <v>374443</v>
      </c>
      <c r="O124" s="32">
        <v>386989</v>
      </c>
      <c r="P124" s="32">
        <v>406559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  <c r="V124" s="34">
        <v>0</v>
      </c>
      <c r="W124" s="34">
        <v>0</v>
      </c>
      <c r="X124" s="34">
        <v>0</v>
      </c>
      <c r="Y124" s="34">
        <v>0</v>
      </c>
    </row>
    <row r="125" spans="2:25" outlineLevel="1" x14ac:dyDescent="0.3">
      <c r="B125" s="89" t="s">
        <v>363</v>
      </c>
      <c r="D125" s="34">
        <f t="shared" ref="D125:G125" si="168">ROUND(AVERAGE($L$125,$N$125:$R$125), -2)</f>
        <v>326500</v>
      </c>
      <c r="E125" s="34">
        <f t="shared" si="168"/>
        <v>326500</v>
      </c>
      <c r="F125" s="34">
        <f t="shared" si="168"/>
        <v>326500</v>
      </c>
      <c r="G125" s="34">
        <f t="shared" si="168"/>
        <v>326500</v>
      </c>
      <c r="H125" s="140"/>
      <c r="I125" s="122"/>
      <c r="J125" s="104"/>
      <c r="L125" s="34">
        <v>285801</v>
      </c>
      <c r="M125" s="34">
        <v>646069</v>
      </c>
      <c r="N125" s="34">
        <v>347107</v>
      </c>
      <c r="O125" s="34">
        <v>347767</v>
      </c>
      <c r="P125" s="34">
        <v>408286</v>
      </c>
      <c r="Q125" s="34">
        <v>297340</v>
      </c>
      <c r="R125" s="34">
        <v>272941</v>
      </c>
      <c r="S125" s="34">
        <v>358519</v>
      </c>
      <c r="T125" s="34">
        <v>372691</v>
      </c>
      <c r="U125" s="34">
        <v>401113</v>
      </c>
      <c r="V125" s="34">
        <v>484716</v>
      </c>
      <c r="W125" s="32">
        <v>496170</v>
      </c>
      <c r="X125" s="32">
        <v>493507</v>
      </c>
      <c r="Y125" s="32">
        <v>518041</v>
      </c>
    </row>
    <row r="126" spans="2:25" s="39" customFormat="1" x14ac:dyDescent="0.3">
      <c r="B126" s="76" t="s">
        <v>259</v>
      </c>
      <c r="C126" s="25"/>
      <c r="D126" s="77">
        <f t="shared" ref="D126:G126" si="169">SUM(D122:D125, D120, D119)</f>
        <v>1138909.8156759832</v>
      </c>
      <c r="E126" s="77">
        <f t="shared" si="169"/>
        <v>1154643.2902337424</v>
      </c>
      <c r="F126" s="77">
        <f t="shared" si="169"/>
        <v>1173981.6573209343</v>
      </c>
      <c r="G126" s="77">
        <f t="shared" si="169"/>
        <v>1194380.9464068024</v>
      </c>
      <c r="H126" s="141"/>
      <c r="I126" s="123"/>
      <c r="J126" s="105"/>
      <c r="K126" s="25"/>
      <c r="L126" s="77">
        <f>SUM(L122:L125, L120, L119)</f>
        <v>1194503</v>
      </c>
      <c r="M126" s="77">
        <f t="shared" ref="M126:Y126" si="170">SUM(M122:M125, M120, M119)</f>
        <v>1706341</v>
      </c>
      <c r="N126" s="77">
        <f t="shared" si="170"/>
        <v>1351965</v>
      </c>
      <c r="O126" s="77">
        <f t="shared" si="170"/>
        <v>1330640</v>
      </c>
      <c r="P126" s="77">
        <f t="shared" si="170"/>
        <v>1424458</v>
      </c>
      <c r="Q126" s="77">
        <f t="shared" si="170"/>
        <v>935392</v>
      </c>
      <c r="R126" s="77">
        <f t="shared" si="170"/>
        <v>874137</v>
      </c>
      <c r="S126" s="77">
        <f t="shared" si="170"/>
        <v>962817</v>
      </c>
      <c r="T126" s="77">
        <f t="shared" si="170"/>
        <v>1021048</v>
      </c>
      <c r="U126" s="77">
        <f t="shared" si="170"/>
        <v>1006057</v>
      </c>
      <c r="V126" s="77">
        <f t="shared" si="170"/>
        <v>1124291</v>
      </c>
      <c r="W126" s="77">
        <f t="shared" si="170"/>
        <v>1094294</v>
      </c>
      <c r="X126" s="77">
        <f t="shared" si="170"/>
        <v>1081799</v>
      </c>
      <c r="Y126" s="77">
        <f t="shared" si="170"/>
        <v>1130845</v>
      </c>
    </row>
    <row r="127" spans="2:25" s="39" customFormat="1" ht="6.9" customHeight="1" x14ac:dyDescent="0.3">
      <c r="B127" s="78"/>
      <c r="C127" s="25"/>
      <c r="D127" s="79"/>
      <c r="E127" s="79"/>
      <c r="F127" s="79"/>
      <c r="G127" s="79"/>
      <c r="H127" s="142"/>
      <c r="I127" s="124"/>
      <c r="J127" s="106"/>
      <c r="K127" s="25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</row>
    <row r="128" spans="2:25" x14ac:dyDescent="0.3">
      <c r="B128" s="89" t="s">
        <v>364</v>
      </c>
      <c r="D128" s="32">
        <f t="shared" ref="D128:F128" si="171">$L128</f>
        <v>45376</v>
      </c>
      <c r="E128" s="32">
        <f t="shared" si="171"/>
        <v>45376</v>
      </c>
      <c r="F128" s="32">
        <f t="shared" si="171"/>
        <v>45376</v>
      </c>
      <c r="G128" s="32">
        <f>$L128</f>
        <v>45376</v>
      </c>
      <c r="L128" s="32">
        <v>45376</v>
      </c>
      <c r="M128" s="32">
        <v>45376</v>
      </c>
      <c r="N128" s="32">
        <v>45376</v>
      </c>
      <c r="O128" s="32">
        <v>45376</v>
      </c>
      <c r="P128" s="32">
        <v>45376</v>
      </c>
      <c r="Q128" s="32">
        <v>45376</v>
      </c>
      <c r="R128" s="32">
        <v>45376</v>
      </c>
      <c r="S128" s="32">
        <v>45376</v>
      </c>
      <c r="T128" s="32">
        <v>45376</v>
      </c>
      <c r="U128" s="32">
        <v>45376</v>
      </c>
      <c r="V128" s="32">
        <v>45376</v>
      </c>
      <c r="W128" s="32">
        <v>45376</v>
      </c>
      <c r="X128" s="32">
        <v>45376</v>
      </c>
      <c r="Y128" s="32">
        <v>45376</v>
      </c>
    </row>
    <row r="129" spans="2:25" x14ac:dyDescent="0.3">
      <c r="B129" s="89" t="s">
        <v>262</v>
      </c>
      <c r="D129" s="32">
        <f>ROUND(D42, -3)</f>
        <v>302000</v>
      </c>
      <c r="E129" s="32">
        <f t="shared" ref="E129:G129" si="172">ROUND(E42, -3)</f>
        <v>300000</v>
      </c>
      <c r="F129" s="32">
        <f t="shared" si="172"/>
        <v>297000</v>
      </c>
      <c r="G129" s="32">
        <f t="shared" si="172"/>
        <v>292000</v>
      </c>
      <c r="L129" s="32">
        <v>290653</v>
      </c>
      <c r="M129" s="32">
        <v>283467</v>
      </c>
      <c r="N129" s="32">
        <v>283454</v>
      </c>
      <c r="O129" s="32">
        <v>277533</v>
      </c>
      <c r="P129" s="32">
        <v>270727</v>
      </c>
      <c r="Q129" s="32">
        <v>272269</v>
      </c>
      <c r="R129" s="32">
        <v>266275</v>
      </c>
      <c r="S129" s="32">
        <v>265303</v>
      </c>
      <c r="T129" s="32">
        <v>263190</v>
      </c>
      <c r="U129" s="32">
        <v>256032</v>
      </c>
      <c r="V129" s="32">
        <v>250340</v>
      </c>
      <c r="W129" s="32">
        <v>249615</v>
      </c>
      <c r="X129" s="32">
        <v>245306</v>
      </c>
      <c r="Y129" s="32">
        <v>240750</v>
      </c>
    </row>
    <row r="130" spans="2:25" x14ac:dyDescent="0.3">
      <c r="B130" s="151" t="s">
        <v>263</v>
      </c>
      <c r="D130" s="152">
        <f>E130 + D73</f>
        <v>3041293.285989393</v>
      </c>
      <c r="E130" s="152">
        <f t="shared" ref="E130:F130" si="173">F130 + E73</f>
        <v>2746265.8245338756</v>
      </c>
      <c r="F130" s="152">
        <f t="shared" si="173"/>
        <v>2446278.193481036</v>
      </c>
      <c r="G130" s="152">
        <f>L130 + G73</f>
        <v>2107569.2374858432</v>
      </c>
      <c r="L130" s="152">
        <v>1805869</v>
      </c>
      <c r="M130" s="152">
        <v>1740193</v>
      </c>
      <c r="N130" s="152">
        <v>2139353</v>
      </c>
      <c r="O130" s="152">
        <v>2101915</v>
      </c>
      <c r="P130" s="152">
        <v>2061651</v>
      </c>
      <c r="Q130" s="152">
        <v>1945961</v>
      </c>
      <c r="R130" s="152">
        <v>1904309</v>
      </c>
      <c r="S130" s="152">
        <v>1867895</v>
      </c>
      <c r="T130" s="152">
        <v>1644089</v>
      </c>
      <c r="U130" s="152">
        <v>1620699</v>
      </c>
      <c r="V130" s="152">
        <v>1586319</v>
      </c>
      <c r="W130" s="152">
        <v>1515318</v>
      </c>
      <c r="X130" s="152">
        <v>1487672</v>
      </c>
      <c r="Y130" s="152">
        <v>1450991</v>
      </c>
    </row>
    <row r="131" spans="2:25" x14ac:dyDescent="0.3">
      <c r="B131" s="89" t="s">
        <v>365</v>
      </c>
      <c r="D131" s="34">
        <v>0</v>
      </c>
      <c r="E131" s="34">
        <v>0</v>
      </c>
      <c r="F131" s="34">
        <v>0</v>
      </c>
      <c r="G131" s="34">
        <v>0</v>
      </c>
      <c r="H131" s="34"/>
      <c r="I131" s="34"/>
      <c r="J131" s="34"/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2">
        <v>900</v>
      </c>
      <c r="U131" s="34">
        <v>0</v>
      </c>
      <c r="V131" s="34">
        <v>0</v>
      </c>
      <c r="W131" s="32">
        <v>72</v>
      </c>
      <c r="X131" s="34">
        <v>0</v>
      </c>
      <c r="Y131" s="34">
        <v>0</v>
      </c>
    </row>
    <row r="132" spans="2:25" x14ac:dyDescent="0.3">
      <c r="B132" s="89" t="s">
        <v>366</v>
      </c>
      <c r="D132" s="32">
        <f t="shared" ref="D132:F132" si="174">ROUND(AVERAGE($L$132:$M$132), -2)</f>
        <v>1600</v>
      </c>
      <c r="E132" s="32">
        <f t="shared" si="174"/>
        <v>1600</v>
      </c>
      <c r="F132" s="32">
        <f t="shared" si="174"/>
        <v>1600</v>
      </c>
      <c r="G132" s="32">
        <f>ROUND(AVERAGE($L$132:$M$132), -2)</f>
        <v>1600</v>
      </c>
      <c r="L132" s="32">
        <v>1442</v>
      </c>
      <c r="M132" s="32">
        <v>1773</v>
      </c>
      <c r="N132" s="32">
        <v>348</v>
      </c>
      <c r="O132" s="32">
        <v>45</v>
      </c>
      <c r="P132" s="32">
        <v>663</v>
      </c>
      <c r="Q132" s="32">
        <v>59</v>
      </c>
      <c r="R132" s="32">
        <v>238</v>
      </c>
      <c r="S132" s="32">
        <v>297</v>
      </c>
      <c r="T132" s="32">
        <v>900</v>
      </c>
      <c r="U132" s="32">
        <v>118</v>
      </c>
      <c r="V132" s="32">
        <v>328</v>
      </c>
      <c r="W132" s="32">
        <v>72</v>
      </c>
      <c r="X132" s="32">
        <v>169</v>
      </c>
      <c r="Y132" s="32">
        <v>76</v>
      </c>
    </row>
    <row r="133" spans="2:25" x14ac:dyDescent="0.3">
      <c r="B133" s="161" t="s">
        <v>367</v>
      </c>
      <c r="C133" s="162"/>
      <c r="D133" s="163">
        <f t="shared" ref="D133:G133" si="175">SUM(D128:D131, -D132)</f>
        <v>3387069.285989393</v>
      </c>
      <c r="E133" s="163">
        <f t="shared" si="175"/>
        <v>3090041.8245338756</v>
      </c>
      <c r="F133" s="163">
        <f t="shared" si="175"/>
        <v>2787054.193481036</v>
      </c>
      <c r="G133" s="163">
        <f t="shared" si="175"/>
        <v>2443345.2374858432</v>
      </c>
      <c r="H133" s="163"/>
      <c r="I133" s="163"/>
      <c r="J133" s="163"/>
      <c r="K133" s="162"/>
      <c r="L133" s="163">
        <f>SUM(L128:L131, -L132)</f>
        <v>2140456</v>
      </c>
      <c r="M133" s="163">
        <f t="shared" ref="M133:Y133" si="176">SUM(M128:M131, -M132)</f>
        <v>2067263</v>
      </c>
      <c r="N133" s="163">
        <f t="shared" si="176"/>
        <v>2467835</v>
      </c>
      <c r="O133" s="163">
        <f t="shared" si="176"/>
        <v>2424779</v>
      </c>
      <c r="P133" s="163">
        <f t="shared" si="176"/>
        <v>2377091</v>
      </c>
      <c r="Q133" s="163">
        <f t="shared" si="176"/>
        <v>2263547</v>
      </c>
      <c r="R133" s="163">
        <f t="shared" si="176"/>
        <v>2215722</v>
      </c>
      <c r="S133" s="163">
        <f t="shared" si="176"/>
        <v>2178277</v>
      </c>
      <c r="T133" s="163">
        <f t="shared" si="176"/>
        <v>1952655</v>
      </c>
      <c r="U133" s="163">
        <f t="shared" si="176"/>
        <v>1921989</v>
      </c>
      <c r="V133" s="163">
        <f t="shared" si="176"/>
        <v>1881707</v>
      </c>
      <c r="W133" s="163">
        <f t="shared" si="176"/>
        <v>1810309</v>
      </c>
      <c r="X133" s="163">
        <f t="shared" si="176"/>
        <v>1778185</v>
      </c>
      <c r="Y133" s="163">
        <f t="shared" si="176"/>
        <v>1737041</v>
      </c>
    </row>
    <row r="134" spans="2:25" x14ac:dyDescent="0.3">
      <c r="B134" s="89" t="s">
        <v>368</v>
      </c>
      <c r="D134" s="34">
        <f>D133 * D45</f>
        <v>979915.66508909012</v>
      </c>
      <c r="E134" s="34">
        <f t="shared" ref="E134:G134" si="177">E133 * E45</f>
        <v>893982.41782843194</v>
      </c>
      <c r="F134" s="34">
        <f t="shared" si="177"/>
        <v>806324.82923848275</v>
      </c>
      <c r="G134" s="34">
        <f t="shared" si="177"/>
        <v>706886.12227010075</v>
      </c>
      <c r="H134" s="140"/>
      <c r="I134" s="122"/>
      <c r="J134" s="104"/>
      <c r="L134" s="34">
        <v>619257</v>
      </c>
      <c r="M134" s="34">
        <v>620649</v>
      </c>
      <c r="N134" s="34">
        <v>600180</v>
      </c>
      <c r="O134" s="34">
        <v>575221</v>
      </c>
      <c r="P134" s="34">
        <v>563583</v>
      </c>
      <c r="Q134" s="34">
        <v>500159</v>
      </c>
      <c r="R134" s="34">
        <v>470909</v>
      </c>
      <c r="S134" s="34">
        <v>422679</v>
      </c>
      <c r="T134" s="34">
        <v>379599</v>
      </c>
      <c r="U134" s="34">
        <v>380152</v>
      </c>
      <c r="V134" s="34">
        <v>381514</v>
      </c>
      <c r="W134" s="32">
        <v>353141</v>
      </c>
      <c r="X134" s="32">
        <v>318875</v>
      </c>
      <c r="Y134" s="32">
        <v>319271</v>
      </c>
    </row>
    <row r="135" spans="2:25" s="39" customFormat="1" x14ac:dyDescent="0.3">
      <c r="B135" s="76" t="s">
        <v>369</v>
      </c>
      <c r="C135" s="25"/>
      <c r="D135" s="77">
        <f t="shared" ref="D135:G135" si="178">D133 - D134</f>
        <v>2407153.6209003031</v>
      </c>
      <c r="E135" s="77">
        <f t="shared" si="178"/>
        <v>2196059.4067054437</v>
      </c>
      <c r="F135" s="77">
        <f t="shared" si="178"/>
        <v>1980729.3642425532</v>
      </c>
      <c r="G135" s="77">
        <f t="shared" si="178"/>
        <v>1736459.1152157425</v>
      </c>
      <c r="H135" s="141"/>
      <c r="I135" s="123"/>
      <c r="J135" s="105"/>
      <c r="K135" s="25"/>
      <c r="L135" s="77">
        <f>L133 - L134</f>
        <v>1521199</v>
      </c>
      <c r="M135" s="77">
        <f t="shared" ref="M135:Y135" si="179">M133 - M134</f>
        <v>1446614</v>
      </c>
      <c r="N135" s="77">
        <f t="shared" si="179"/>
        <v>1867655</v>
      </c>
      <c r="O135" s="77">
        <f t="shared" si="179"/>
        <v>1849558</v>
      </c>
      <c r="P135" s="77">
        <f t="shared" si="179"/>
        <v>1813508</v>
      </c>
      <c r="Q135" s="77">
        <f t="shared" si="179"/>
        <v>1763388</v>
      </c>
      <c r="R135" s="77">
        <f t="shared" si="179"/>
        <v>1744813</v>
      </c>
      <c r="S135" s="77">
        <f t="shared" si="179"/>
        <v>1755598</v>
      </c>
      <c r="T135" s="77">
        <f t="shared" si="179"/>
        <v>1573056</v>
      </c>
      <c r="U135" s="77">
        <f t="shared" si="179"/>
        <v>1541837</v>
      </c>
      <c r="V135" s="77">
        <f t="shared" si="179"/>
        <v>1500193</v>
      </c>
      <c r="W135" s="77">
        <f t="shared" si="179"/>
        <v>1457168</v>
      </c>
      <c r="X135" s="77">
        <f t="shared" si="179"/>
        <v>1459310</v>
      </c>
      <c r="Y135" s="77">
        <f t="shared" si="179"/>
        <v>1417770</v>
      </c>
    </row>
    <row r="136" spans="2:25" x14ac:dyDescent="0.3">
      <c r="B136" s="30"/>
    </row>
    <row r="137" spans="2:25" s="64" customFormat="1" hidden="1" outlineLevel="1" x14ac:dyDescent="0.3">
      <c r="B137" s="56" t="str">
        <f>MHO!$B$114</f>
        <v>Statement of Cash Flows</v>
      </c>
      <c r="C137" s="3"/>
      <c r="D137" s="57"/>
      <c r="E137" s="57"/>
      <c r="F137" s="57"/>
      <c r="G137" s="57"/>
      <c r="H137" s="57"/>
      <c r="I137" s="57"/>
      <c r="J137" s="57"/>
      <c r="K137" s="3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</row>
    <row r="138" spans="2:25" hidden="1" outlineLevel="1" x14ac:dyDescent="0.3">
      <c r="B138" s="30" t="s">
        <v>370</v>
      </c>
      <c r="L138" s="32">
        <v>211628</v>
      </c>
      <c r="M138" s="32">
        <v>280005</v>
      </c>
      <c r="N138" s="32">
        <v>138529</v>
      </c>
      <c r="O138" s="32">
        <v>98728</v>
      </c>
      <c r="P138" s="32">
        <v>56078</v>
      </c>
      <c r="Q138" s="32">
        <v>134467</v>
      </c>
      <c r="R138" s="32">
        <v>90747</v>
      </c>
      <c r="S138" s="32">
        <v>52246</v>
      </c>
      <c r="T138" s="32">
        <v>114976</v>
      </c>
      <c r="U138" s="32">
        <v>89635</v>
      </c>
      <c r="V138" s="32">
        <v>53300</v>
      </c>
      <c r="W138" s="32">
        <v>117652</v>
      </c>
      <c r="X138" s="32">
        <v>88188</v>
      </c>
      <c r="Y138" s="32">
        <v>49687</v>
      </c>
    </row>
    <row r="139" spans="2:25" hidden="1" outlineLevel="1" x14ac:dyDescent="0.3">
      <c r="B139" s="30" t="s">
        <v>316</v>
      </c>
      <c r="L139" s="32">
        <v>1144958</v>
      </c>
      <c r="M139" s="32">
        <v>597407</v>
      </c>
      <c r="N139" s="32">
        <v>1464887</v>
      </c>
      <c r="O139" s="32">
        <v>975688</v>
      </c>
      <c r="P139" s="32">
        <v>500820</v>
      </c>
      <c r="Q139" s="32">
        <v>1290015</v>
      </c>
      <c r="R139" s="32">
        <v>855422</v>
      </c>
      <c r="S139" s="32">
        <v>440008</v>
      </c>
      <c r="T139" s="32">
        <v>1072972</v>
      </c>
      <c r="U139" s="32">
        <v>707396</v>
      </c>
      <c r="V139" s="32">
        <v>361998</v>
      </c>
      <c r="W139" s="32">
        <v>987398</v>
      </c>
      <c r="X139" s="32">
        <v>670271</v>
      </c>
      <c r="Y139" s="32">
        <v>348302</v>
      </c>
    </row>
    <row r="140" spans="2:25" hidden="1" outlineLevel="1" x14ac:dyDescent="0.3">
      <c r="B140" s="30" t="s">
        <v>371</v>
      </c>
      <c r="L140" s="32">
        <v>50154</v>
      </c>
      <c r="M140" s="32">
        <v>25267</v>
      </c>
      <c r="N140" s="32">
        <v>79419</v>
      </c>
      <c r="O140" s="32">
        <v>53862</v>
      </c>
      <c r="P140" s="32">
        <v>26562</v>
      </c>
      <c r="Q140" s="32">
        <v>68730</v>
      </c>
      <c r="R140" s="32">
        <v>44591</v>
      </c>
      <c r="S140" s="32">
        <v>22115</v>
      </c>
      <c r="T140" s="32">
        <v>61274</v>
      </c>
      <c r="U140" s="32">
        <v>40302</v>
      </c>
      <c r="V140" s="32">
        <v>20640</v>
      </c>
      <c r="W140" s="32">
        <v>61592</v>
      </c>
      <c r="X140" s="32">
        <v>40956</v>
      </c>
      <c r="Y140" s="32">
        <v>20743</v>
      </c>
    </row>
    <row r="141" spans="2:25" hidden="1" outlineLevel="1" x14ac:dyDescent="0.3">
      <c r="B141" s="30" t="s">
        <v>372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82106</v>
      </c>
      <c r="V141" s="32">
        <v>0</v>
      </c>
      <c r="W141" s="32">
        <v>0</v>
      </c>
      <c r="X141" s="32">
        <v>74968</v>
      </c>
      <c r="Y141" s="32">
        <v>0</v>
      </c>
    </row>
    <row r="142" spans="2:25" hidden="1" outlineLevel="1" x14ac:dyDescent="0.3">
      <c r="B142" s="30" t="s">
        <v>373</v>
      </c>
      <c r="L142" s="32">
        <v>158587</v>
      </c>
      <c r="M142" s="32">
        <v>85082</v>
      </c>
      <c r="N142" s="32">
        <v>228608</v>
      </c>
      <c r="O142" s="32">
        <v>137611</v>
      </c>
      <c r="P142" s="32">
        <v>63235</v>
      </c>
      <c r="Q142" s="32">
        <v>188763</v>
      </c>
      <c r="R142" s="32">
        <v>113077</v>
      </c>
      <c r="S142" s="32">
        <v>51458</v>
      </c>
      <c r="T142" s="32">
        <v>142142</v>
      </c>
      <c r="U142" s="32">
        <v>0</v>
      </c>
      <c r="V142" s="32">
        <v>36135</v>
      </c>
      <c r="W142" s="32">
        <v>119680</v>
      </c>
      <c r="X142" s="32">
        <v>0</v>
      </c>
      <c r="Y142" s="32">
        <v>34514</v>
      </c>
    </row>
    <row r="143" spans="2:25" hidden="1" outlineLevel="1" x14ac:dyDescent="0.3">
      <c r="B143" s="30" t="s">
        <v>374</v>
      </c>
      <c r="L143" s="32">
        <v>16150</v>
      </c>
      <c r="M143" s="32">
        <v>12722</v>
      </c>
      <c r="N143" s="32">
        <v>15291</v>
      </c>
      <c r="O143" s="32">
        <v>9223</v>
      </c>
      <c r="P143" s="32">
        <v>4255</v>
      </c>
      <c r="Q143" s="32">
        <v>16011</v>
      </c>
      <c r="R143" s="32">
        <v>9540</v>
      </c>
      <c r="S143" s="32">
        <v>4492</v>
      </c>
      <c r="T143" s="32">
        <v>15140</v>
      </c>
      <c r="U143" s="32">
        <v>9130</v>
      </c>
      <c r="V143" s="32">
        <v>3743</v>
      </c>
      <c r="W143" s="32">
        <v>7461</v>
      </c>
      <c r="X143" s="32">
        <v>4211</v>
      </c>
      <c r="Y143" s="32">
        <v>1798</v>
      </c>
    </row>
    <row r="144" spans="2:25" hidden="1" outlineLevel="1" x14ac:dyDescent="0.3">
      <c r="B144" s="30" t="s">
        <v>375</v>
      </c>
      <c r="L144" s="32">
        <v>12487</v>
      </c>
      <c r="M144" s="32">
        <v>5619</v>
      </c>
      <c r="N144" s="32">
        <v>20261</v>
      </c>
      <c r="O144" s="32">
        <v>14231</v>
      </c>
      <c r="P144" s="32">
        <v>7549</v>
      </c>
      <c r="Q144" s="32">
        <v>21793</v>
      </c>
      <c r="R144" s="32">
        <v>15143</v>
      </c>
      <c r="S144" s="32">
        <v>8519</v>
      </c>
      <c r="T144" s="32">
        <v>19886</v>
      </c>
      <c r="U144" s="32">
        <v>11705</v>
      </c>
      <c r="V144" s="32">
        <v>5274</v>
      </c>
      <c r="W144" s="32">
        <v>15492</v>
      </c>
      <c r="X144" s="32">
        <v>10446</v>
      </c>
      <c r="Y144" s="32">
        <v>5529</v>
      </c>
    </row>
    <row r="145" spans="2:25" hidden="1" outlineLevel="1" x14ac:dyDescent="0.3">
      <c r="B145" s="30" t="s">
        <v>376</v>
      </c>
      <c r="L145" s="32">
        <v>73656</v>
      </c>
      <c r="M145" s="32">
        <v>90268</v>
      </c>
      <c r="N145" s="32">
        <v>28747</v>
      </c>
      <c r="O145" s="32">
        <v>19928</v>
      </c>
      <c r="P145" s="32">
        <v>10861</v>
      </c>
      <c r="Q145" s="32">
        <v>30166</v>
      </c>
      <c r="R145" s="32">
        <v>39684</v>
      </c>
      <c r="S145" s="32">
        <v>23201</v>
      </c>
      <c r="T145" s="32">
        <v>16970</v>
      </c>
      <c r="U145" s="32">
        <v>16084</v>
      </c>
      <c r="V145" s="32">
        <v>8042</v>
      </c>
      <c r="W145" s="32">
        <v>33800</v>
      </c>
      <c r="X145" s="32">
        <v>9522</v>
      </c>
      <c r="Y145" s="32">
        <v>1616</v>
      </c>
    </row>
    <row r="146" spans="2:25" hidden="1" outlineLevel="1" x14ac:dyDescent="0.3">
      <c r="B146" s="30" t="s">
        <v>377</v>
      </c>
      <c r="L146" s="32">
        <v>0</v>
      </c>
      <c r="M146" s="32">
        <v>0</v>
      </c>
      <c r="N146" s="32">
        <v>29031</v>
      </c>
      <c r="O146" s="32">
        <v>26267</v>
      </c>
      <c r="P146" s="32">
        <v>10492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  <c r="V146" s="32">
        <v>0</v>
      </c>
      <c r="W146" s="32">
        <v>0</v>
      </c>
      <c r="X146" s="32">
        <v>0</v>
      </c>
      <c r="Y146" s="32">
        <v>0</v>
      </c>
    </row>
    <row r="147" spans="2:25" hidden="1" outlineLevel="1" x14ac:dyDescent="0.3">
      <c r="B147" s="30" t="s">
        <v>378</v>
      </c>
      <c r="L147" s="32">
        <v>468634</v>
      </c>
      <c r="M147" s="32">
        <v>466030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  <c r="V147" s="32">
        <v>0</v>
      </c>
      <c r="W147" s="32">
        <v>0</v>
      </c>
      <c r="X147" s="32">
        <v>0</v>
      </c>
      <c r="Y147" s="32">
        <v>0</v>
      </c>
    </row>
    <row r="148" spans="2:25" hidden="1" outlineLevel="1" x14ac:dyDescent="0.3">
      <c r="B148" s="30" t="s">
        <v>379</v>
      </c>
      <c r="L148" s="32">
        <v>50638</v>
      </c>
      <c r="M148" s="32">
        <v>26895</v>
      </c>
      <c r="N148" s="32">
        <v>86367</v>
      </c>
      <c r="O148" s="32">
        <v>58073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  <c r="V148" s="32">
        <v>0</v>
      </c>
      <c r="W148" s="32">
        <v>0</v>
      </c>
      <c r="X148" s="32">
        <v>0</v>
      </c>
      <c r="Y148" s="32">
        <v>0</v>
      </c>
    </row>
    <row r="149" spans="2:25" hidden="1" outlineLevel="1" x14ac:dyDescent="0.3">
      <c r="B149" s="30" t="s">
        <v>380</v>
      </c>
      <c r="L149" s="32">
        <v>0</v>
      </c>
      <c r="M149" s="32">
        <v>0</v>
      </c>
      <c r="N149" s="32">
        <v>0</v>
      </c>
      <c r="O149" s="32">
        <v>0</v>
      </c>
      <c r="P149" s="32">
        <v>25802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</row>
    <row r="150" spans="2:25" hidden="1" outlineLevel="1" x14ac:dyDescent="0.3">
      <c r="B150" s="30" t="s">
        <v>326</v>
      </c>
      <c r="L150" s="32">
        <v>0</v>
      </c>
      <c r="M150" s="32">
        <v>0</v>
      </c>
      <c r="N150" s="32">
        <v>0</v>
      </c>
      <c r="O150" s="32">
        <v>0</v>
      </c>
      <c r="P150" s="32">
        <v>0</v>
      </c>
      <c r="Q150" s="32">
        <v>20098</v>
      </c>
      <c r="R150" s="32">
        <v>20098</v>
      </c>
      <c r="S150" s="32">
        <v>0</v>
      </c>
      <c r="T150" s="32">
        <v>0</v>
      </c>
      <c r="U150" s="32">
        <v>0</v>
      </c>
      <c r="V150" s="32">
        <v>0</v>
      </c>
      <c r="W150" s="32">
        <v>0</v>
      </c>
      <c r="X150" s="32">
        <v>0</v>
      </c>
      <c r="Y150" s="32">
        <v>0</v>
      </c>
    </row>
    <row r="151" spans="2:25" hidden="1" outlineLevel="1" x14ac:dyDescent="0.3">
      <c r="B151" s="30" t="s">
        <v>381</v>
      </c>
      <c r="L151" s="32">
        <v>5109</v>
      </c>
      <c r="M151" s="32">
        <v>839</v>
      </c>
      <c r="N151" s="32">
        <v>3423</v>
      </c>
      <c r="O151" s="32">
        <v>3390</v>
      </c>
      <c r="P151" s="32">
        <v>883</v>
      </c>
      <c r="Q151" s="32">
        <v>1625</v>
      </c>
      <c r="R151" s="32">
        <v>1076</v>
      </c>
      <c r="S151" s="32">
        <v>1014</v>
      </c>
      <c r="T151" s="32">
        <v>283</v>
      </c>
      <c r="U151" s="32">
        <v>3795</v>
      </c>
      <c r="V151" s="32">
        <v>1624</v>
      </c>
      <c r="W151" s="32">
        <v>3329</v>
      </c>
      <c r="X151" s="32">
        <v>4946</v>
      </c>
      <c r="Y151" s="32">
        <v>6100</v>
      </c>
    </row>
    <row r="152" spans="2:25" hidden="1" outlineLevel="1" x14ac:dyDescent="0.3">
      <c r="B152" s="30" t="s">
        <v>382</v>
      </c>
      <c r="L152" s="32">
        <v>1032977</v>
      </c>
      <c r="M152" s="32">
        <v>556807</v>
      </c>
      <c r="N152" s="32">
        <v>1723385</v>
      </c>
      <c r="O152" s="32">
        <v>1141863</v>
      </c>
      <c r="P152" s="32">
        <v>580089</v>
      </c>
      <c r="Q152" s="32">
        <v>1583184</v>
      </c>
      <c r="R152" s="32">
        <v>1034838</v>
      </c>
      <c r="S152" s="32">
        <v>514055</v>
      </c>
      <c r="T152" s="32">
        <v>1388435</v>
      </c>
      <c r="U152" s="32">
        <v>905693</v>
      </c>
      <c r="V152" s="32">
        <v>449930</v>
      </c>
      <c r="W152" s="32">
        <v>1134644</v>
      </c>
      <c r="X152" s="32">
        <v>789768</v>
      </c>
      <c r="Y152" s="32">
        <v>447382</v>
      </c>
    </row>
    <row r="153" spans="2:25" hidden="1" outlineLevel="1" x14ac:dyDescent="0.3">
      <c r="B153" s="30" t="s">
        <v>383</v>
      </c>
      <c r="L153" s="32">
        <v>201058</v>
      </c>
      <c r="M153" s="32">
        <v>114762</v>
      </c>
      <c r="N153" s="32">
        <v>298904</v>
      </c>
      <c r="O153" s="32">
        <v>196219</v>
      </c>
      <c r="P153" s="32">
        <v>98257</v>
      </c>
      <c r="Q153" s="32">
        <v>289859</v>
      </c>
      <c r="R153" s="32">
        <v>199846</v>
      </c>
      <c r="S153" s="32">
        <v>98797</v>
      </c>
      <c r="T153" s="32">
        <v>306766</v>
      </c>
      <c r="U153" s="32">
        <v>202734</v>
      </c>
      <c r="V153" s="32">
        <v>101817</v>
      </c>
      <c r="W153" s="32">
        <v>311518</v>
      </c>
      <c r="X153" s="32">
        <v>210547</v>
      </c>
      <c r="Y153" s="32">
        <v>114453</v>
      </c>
    </row>
    <row r="154" spans="2:25" hidden="1" outlineLevel="1" x14ac:dyDescent="0.3">
      <c r="B154" s="30" t="s">
        <v>384</v>
      </c>
      <c r="L154" s="32">
        <v>134467</v>
      </c>
      <c r="M154" s="32">
        <v>68420</v>
      </c>
      <c r="N154" s="32">
        <v>225372</v>
      </c>
      <c r="O154" s="32">
        <v>126112</v>
      </c>
      <c r="P154" s="32">
        <v>50467</v>
      </c>
      <c r="Q154" s="32">
        <v>181512</v>
      </c>
      <c r="R154" s="32">
        <v>97385</v>
      </c>
      <c r="S154" s="32">
        <v>33591</v>
      </c>
      <c r="T154" s="32">
        <v>140370</v>
      </c>
      <c r="U154" s="32">
        <v>71081</v>
      </c>
      <c r="V154" s="32">
        <v>34030</v>
      </c>
      <c r="W154" s="32">
        <v>92687</v>
      </c>
      <c r="X154" s="32">
        <v>45475</v>
      </c>
      <c r="Y154" s="32">
        <v>6400</v>
      </c>
    </row>
    <row r="155" spans="2:25" hidden="1" outlineLevel="1" x14ac:dyDescent="0.3">
      <c r="B155" s="30" t="s">
        <v>353</v>
      </c>
      <c r="L155" s="32">
        <v>4711</v>
      </c>
      <c r="M155" s="32">
        <v>9347</v>
      </c>
      <c r="N155" s="32">
        <v>19642</v>
      </c>
      <c r="O155" s="32">
        <v>6847</v>
      </c>
      <c r="P155" s="32">
        <v>1550</v>
      </c>
      <c r="Q155" s="32">
        <v>6685</v>
      </c>
      <c r="R155" s="32">
        <v>7965</v>
      </c>
      <c r="S155" s="32">
        <v>6022</v>
      </c>
      <c r="T155" s="32">
        <v>16535</v>
      </c>
      <c r="U155" s="32">
        <v>13618</v>
      </c>
      <c r="V155" s="32">
        <v>2799</v>
      </c>
      <c r="W155" s="32">
        <v>10244</v>
      </c>
      <c r="X155" s="32">
        <v>6435</v>
      </c>
      <c r="Y155" s="32">
        <v>1327</v>
      </c>
    </row>
    <row r="156" spans="2:25" hidden="1" outlineLevel="1" x14ac:dyDescent="0.3">
      <c r="B156" s="30" t="s">
        <v>348</v>
      </c>
      <c r="L156" s="32">
        <v>38797</v>
      </c>
      <c r="M156" s="32">
        <v>44137</v>
      </c>
      <c r="N156" s="32">
        <v>13217</v>
      </c>
      <c r="O156" s="32">
        <v>17227</v>
      </c>
      <c r="P156" s="32">
        <v>15747</v>
      </c>
      <c r="Q156" s="32">
        <v>70299</v>
      </c>
      <c r="R156" s="32">
        <v>54242</v>
      </c>
      <c r="S156" s="32">
        <v>68214</v>
      </c>
      <c r="T156" s="32">
        <v>10596</v>
      </c>
      <c r="U156" s="32">
        <v>751</v>
      </c>
      <c r="V156" s="32">
        <v>3212</v>
      </c>
      <c r="W156" s="32">
        <v>165569</v>
      </c>
      <c r="X156" s="32">
        <v>164790</v>
      </c>
      <c r="Y156" s="32">
        <v>149140</v>
      </c>
    </row>
    <row r="157" spans="2:25" hidden="1" outlineLevel="1" x14ac:dyDescent="0.3">
      <c r="B157" s="30" t="s">
        <v>248</v>
      </c>
      <c r="L157" s="32">
        <v>53544</v>
      </c>
      <c r="M157" s="32">
        <v>25579</v>
      </c>
      <c r="N157" s="32">
        <v>91333</v>
      </c>
      <c r="O157" s="32">
        <v>62541</v>
      </c>
      <c r="P157" s="32">
        <v>27890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  <c r="V157" s="32">
        <v>0</v>
      </c>
      <c r="W157" s="32">
        <v>0</v>
      </c>
      <c r="X157" s="32">
        <v>0</v>
      </c>
      <c r="Y157" s="32">
        <v>0</v>
      </c>
    </row>
    <row r="158" spans="2:25" hidden="1" outlineLevel="1" x14ac:dyDescent="0.3">
      <c r="B158" s="30" t="s">
        <v>359</v>
      </c>
      <c r="L158" s="32">
        <v>19713</v>
      </c>
      <c r="M158" s="32">
        <v>43584</v>
      </c>
      <c r="N158" s="32">
        <v>5762</v>
      </c>
      <c r="O158" s="32">
        <v>21465</v>
      </c>
      <c r="P158" s="32">
        <v>1854</v>
      </c>
      <c r="Q158" s="32">
        <v>7998</v>
      </c>
      <c r="R158" s="32">
        <v>36165</v>
      </c>
      <c r="S158" s="32">
        <v>21598</v>
      </c>
      <c r="T158" s="32">
        <v>21491</v>
      </c>
      <c r="U158" s="32">
        <v>16940</v>
      </c>
      <c r="V158" s="32">
        <v>12465</v>
      </c>
      <c r="W158" s="32">
        <v>40367</v>
      </c>
      <c r="X158" s="32">
        <v>68409</v>
      </c>
      <c r="Y158" s="32">
        <v>57704</v>
      </c>
    </row>
    <row r="159" spans="2:25" hidden="1" outlineLevel="1" x14ac:dyDescent="0.3">
      <c r="B159" s="30" t="s">
        <v>360</v>
      </c>
      <c r="L159" s="32">
        <v>175000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  <c r="V159" s="32">
        <v>0</v>
      </c>
      <c r="W159" s="32">
        <v>4737</v>
      </c>
      <c r="X159" s="32">
        <v>4737</v>
      </c>
      <c r="Y159" s="32">
        <v>4737</v>
      </c>
    </row>
    <row r="160" spans="2:25" hidden="1" outlineLevel="1" x14ac:dyDescent="0.3">
      <c r="B160" s="30" t="s">
        <v>362</v>
      </c>
      <c r="L160" s="32">
        <v>2527</v>
      </c>
      <c r="M160" s="32">
        <v>7410</v>
      </c>
      <c r="N160" s="32">
        <v>1954</v>
      </c>
      <c r="O160" s="32">
        <v>200</v>
      </c>
      <c r="P160" s="32">
        <v>2947</v>
      </c>
      <c r="Q160" s="32">
        <v>2198</v>
      </c>
      <c r="R160" s="32">
        <v>1819</v>
      </c>
      <c r="S160" s="32">
        <v>3806</v>
      </c>
      <c r="T160" s="32">
        <v>1751</v>
      </c>
      <c r="U160" s="32">
        <v>562</v>
      </c>
      <c r="V160" s="32">
        <v>2020</v>
      </c>
      <c r="W160" s="32">
        <v>6094</v>
      </c>
      <c r="X160" s="32">
        <v>10746</v>
      </c>
      <c r="Y160" s="32">
        <v>7591</v>
      </c>
    </row>
    <row r="161" spans="2:25" hidden="1" outlineLevel="1" x14ac:dyDescent="0.3">
      <c r="B161" s="30" t="s">
        <v>281</v>
      </c>
      <c r="L161" s="32">
        <v>360755</v>
      </c>
      <c r="M161" s="32">
        <v>227760</v>
      </c>
      <c r="N161" s="32">
        <v>350760</v>
      </c>
      <c r="O161" s="32">
        <v>244639</v>
      </c>
      <c r="P161" s="32">
        <v>164738</v>
      </c>
      <c r="Q161" s="32">
        <v>362995</v>
      </c>
      <c r="R161" s="32">
        <v>266780</v>
      </c>
      <c r="S161" s="32">
        <v>196576</v>
      </c>
      <c r="T161" s="32">
        <v>180273</v>
      </c>
      <c r="U161" s="32">
        <v>115608</v>
      </c>
      <c r="V161" s="32">
        <v>104179</v>
      </c>
      <c r="W161" s="32">
        <v>460460</v>
      </c>
      <c r="X161" s="32">
        <v>324339</v>
      </c>
      <c r="Y161" s="32">
        <v>194541</v>
      </c>
    </row>
    <row r="162" spans="2:25" hidden="1" outlineLevel="1" x14ac:dyDescent="0.3">
      <c r="B162" s="30" t="s">
        <v>385</v>
      </c>
      <c r="L162" s="32">
        <v>39986</v>
      </c>
      <c r="M162" s="32">
        <v>21997</v>
      </c>
      <c r="N162" s="32">
        <v>49311</v>
      </c>
      <c r="O162" s="32">
        <v>29506</v>
      </c>
      <c r="P162" s="32">
        <v>14493</v>
      </c>
      <c r="Q162" s="32">
        <v>49311</v>
      </c>
      <c r="R162" s="32">
        <v>31797</v>
      </c>
      <c r="S162" s="32">
        <v>14598</v>
      </c>
      <c r="T162" s="32">
        <v>58042</v>
      </c>
      <c r="U162" s="32">
        <v>37139</v>
      </c>
      <c r="V162" s="32">
        <v>18157</v>
      </c>
      <c r="W162" s="32">
        <v>54747</v>
      </c>
      <c r="X162" s="32">
        <v>36500</v>
      </c>
      <c r="Y162" s="32">
        <v>18706</v>
      </c>
    </row>
    <row r="163" spans="2:25" hidden="1" outlineLevel="1" x14ac:dyDescent="0.3">
      <c r="B163" s="30" t="s">
        <v>386</v>
      </c>
      <c r="L163" s="32">
        <v>32248</v>
      </c>
      <c r="M163" s="32">
        <v>14956</v>
      </c>
      <c r="N163" s="32">
        <v>40423</v>
      </c>
      <c r="O163" s="32">
        <v>27720</v>
      </c>
      <c r="P163" s="32">
        <v>14482</v>
      </c>
      <c r="Q163" s="32">
        <v>44016</v>
      </c>
      <c r="R163" s="32">
        <v>30150</v>
      </c>
      <c r="S163" s="32">
        <v>15135</v>
      </c>
      <c r="T163" s="32">
        <v>45362</v>
      </c>
      <c r="U163" s="32">
        <v>31053</v>
      </c>
      <c r="V163" s="32">
        <v>16416</v>
      </c>
      <c r="W163" s="32">
        <v>50569</v>
      </c>
      <c r="X163" s="32">
        <v>35236</v>
      </c>
      <c r="Y163" s="32">
        <v>18635</v>
      </c>
    </row>
    <row r="164" spans="2:25" hidden="1" outlineLevel="1" x14ac:dyDescent="0.3">
      <c r="B164" s="30" t="s">
        <v>387</v>
      </c>
      <c r="L164" s="32">
        <v>0</v>
      </c>
      <c r="M164" s="32">
        <v>0</v>
      </c>
      <c r="N164" s="32">
        <v>0</v>
      </c>
      <c r="O164" s="32">
        <v>0</v>
      </c>
      <c r="P164" s="32">
        <v>0</v>
      </c>
      <c r="Q164" s="32">
        <v>666</v>
      </c>
      <c r="R164" s="32">
        <v>666</v>
      </c>
      <c r="S164" s="32">
        <v>666</v>
      </c>
      <c r="T164" s="32">
        <v>0</v>
      </c>
      <c r="U164" s="32">
        <v>0</v>
      </c>
      <c r="V164" s="32">
        <v>0</v>
      </c>
      <c r="W164" s="32">
        <v>0</v>
      </c>
      <c r="X164" s="32">
        <v>0</v>
      </c>
      <c r="Y164" s="32">
        <v>0</v>
      </c>
    </row>
    <row r="165" spans="2:25" hidden="1" outlineLevel="1" x14ac:dyDescent="0.3">
      <c r="B165" s="30" t="s">
        <v>388</v>
      </c>
      <c r="L165" s="32">
        <v>33885</v>
      </c>
      <c r="M165" s="32">
        <v>23587</v>
      </c>
      <c r="N165" s="32">
        <v>67049</v>
      </c>
      <c r="O165" s="32">
        <v>48059</v>
      </c>
      <c r="P165" s="32">
        <v>23807</v>
      </c>
      <c r="Q165" s="32">
        <v>52927</v>
      </c>
      <c r="R165" s="32">
        <v>32785</v>
      </c>
      <c r="S165" s="32">
        <v>17254</v>
      </c>
      <c r="T165" s="32">
        <v>42105</v>
      </c>
      <c r="U165" s="32">
        <v>26822</v>
      </c>
      <c r="V165" s="32">
        <v>12512</v>
      </c>
      <c r="W165" s="32">
        <v>45920</v>
      </c>
      <c r="X165" s="32">
        <v>30955</v>
      </c>
      <c r="Y165" s="32">
        <v>14088</v>
      </c>
    </row>
    <row r="166" spans="2:25" hidden="1" outlineLevel="1" x14ac:dyDescent="0.3">
      <c r="B166" s="30" t="s">
        <v>389</v>
      </c>
      <c r="L166" s="32">
        <v>2220</v>
      </c>
      <c r="M166" s="32">
        <v>906</v>
      </c>
      <c r="N166" s="32">
        <v>2805</v>
      </c>
      <c r="O166" s="32">
        <v>1425</v>
      </c>
      <c r="P166" s="32">
        <v>511</v>
      </c>
      <c r="Q166" s="32">
        <v>5488</v>
      </c>
      <c r="R166" s="32">
        <v>4349</v>
      </c>
      <c r="S166" s="32">
        <v>2731</v>
      </c>
      <c r="T166" s="32">
        <v>10149</v>
      </c>
      <c r="U166" s="32">
        <v>7256</v>
      </c>
      <c r="V166" s="32">
        <v>4080</v>
      </c>
      <c r="W166" s="32">
        <v>19483</v>
      </c>
      <c r="X166" s="32">
        <v>18457</v>
      </c>
      <c r="Y166" s="32">
        <v>15082</v>
      </c>
    </row>
    <row r="167" spans="2:25" hidden="1" outlineLevel="1" x14ac:dyDescent="0.3">
      <c r="B167" s="30" t="s">
        <v>390</v>
      </c>
      <c r="L167" s="32">
        <v>1209</v>
      </c>
      <c r="M167" s="32">
        <v>855</v>
      </c>
      <c r="N167" s="32">
        <v>12873</v>
      </c>
      <c r="O167" s="32">
        <v>7612</v>
      </c>
      <c r="P167" s="32">
        <v>3470</v>
      </c>
      <c r="Q167" s="32">
        <v>0</v>
      </c>
      <c r="R167" s="32">
        <v>0</v>
      </c>
      <c r="S167" s="32">
        <v>4774</v>
      </c>
      <c r="T167" s="32">
        <v>0</v>
      </c>
      <c r="U167" s="32">
        <v>940</v>
      </c>
      <c r="V167" s="32">
        <v>580</v>
      </c>
      <c r="W167" s="32">
        <v>9671</v>
      </c>
      <c r="X167" s="32">
        <v>332</v>
      </c>
      <c r="Y167" s="32">
        <v>0</v>
      </c>
    </row>
    <row r="168" spans="2:25" hidden="1" outlineLevel="1" x14ac:dyDescent="0.3">
      <c r="B168" s="30" t="s">
        <v>391</v>
      </c>
      <c r="L168" s="32">
        <v>0</v>
      </c>
      <c r="M168" s="32">
        <v>0</v>
      </c>
      <c r="N168" s="32">
        <v>0</v>
      </c>
      <c r="O168" s="32">
        <v>0</v>
      </c>
      <c r="P168" s="32">
        <v>0</v>
      </c>
      <c r="Q168" s="32">
        <v>141079</v>
      </c>
      <c r="R168" s="32">
        <v>14401</v>
      </c>
      <c r="S168" s="32">
        <v>0</v>
      </c>
      <c r="T168" s="32">
        <v>142278</v>
      </c>
      <c r="U168" s="32">
        <v>0</v>
      </c>
      <c r="V168" s="32">
        <v>0</v>
      </c>
      <c r="W168" s="32">
        <v>0</v>
      </c>
      <c r="X168" s="32">
        <v>0</v>
      </c>
      <c r="Y168" s="32">
        <v>0</v>
      </c>
    </row>
    <row r="169" spans="2:25" hidden="1" outlineLevel="1" x14ac:dyDescent="0.3">
      <c r="B169" s="30" t="s">
        <v>392</v>
      </c>
      <c r="L169" s="32">
        <v>0</v>
      </c>
      <c r="M169" s="32">
        <v>0</v>
      </c>
      <c r="N169" s="32">
        <v>0</v>
      </c>
      <c r="O169" s="32">
        <v>0</v>
      </c>
      <c r="P169" s="32">
        <v>0</v>
      </c>
      <c r="Q169" s="32">
        <v>0</v>
      </c>
      <c r="R169" s="32">
        <v>0</v>
      </c>
      <c r="S169" s="32">
        <v>0</v>
      </c>
      <c r="T169" s="32">
        <v>0</v>
      </c>
      <c r="U169" s="32">
        <v>0</v>
      </c>
      <c r="V169" s="32">
        <v>0</v>
      </c>
      <c r="W169" s="32">
        <v>36295</v>
      </c>
      <c r="X169" s="32">
        <v>0</v>
      </c>
      <c r="Y169" s="32">
        <v>0</v>
      </c>
    </row>
    <row r="170" spans="2:25" hidden="1" outlineLevel="1" x14ac:dyDescent="0.3">
      <c r="B170" s="30" t="s">
        <v>393</v>
      </c>
      <c r="L170" s="32">
        <v>0</v>
      </c>
      <c r="M170" s="32">
        <v>0</v>
      </c>
      <c r="N170" s="32">
        <v>0</v>
      </c>
      <c r="O170" s="32">
        <v>0</v>
      </c>
      <c r="P170" s="32">
        <v>0</v>
      </c>
      <c r="Q170" s="32">
        <v>0</v>
      </c>
      <c r="R170" s="32">
        <v>0</v>
      </c>
      <c r="S170" s="32">
        <v>0</v>
      </c>
      <c r="T170" s="32">
        <v>1130</v>
      </c>
      <c r="U170" s="32">
        <v>0</v>
      </c>
      <c r="V170" s="32">
        <v>0</v>
      </c>
      <c r="W170" s="32">
        <v>0</v>
      </c>
      <c r="X170" s="32">
        <v>0</v>
      </c>
      <c r="Y170" s="32">
        <v>0</v>
      </c>
    </row>
    <row r="171" spans="2:25" hidden="1" outlineLevel="1" x14ac:dyDescent="0.3">
      <c r="B171" s="30" t="s">
        <v>394</v>
      </c>
      <c r="L171" s="32">
        <v>359</v>
      </c>
      <c r="M171" s="32">
        <v>0</v>
      </c>
      <c r="N171" s="32">
        <v>2813</v>
      </c>
      <c r="O171" s="32">
        <v>755</v>
      </c>
      <c r="P171" s="32">
        <v>755</v>
      </c>
      <c r="Q171" s="32">
        <v>802</v>
      </c>
      <c r="R171" s="32">
        <v>318</v>
      </c>
      <c r="S171" s="32">
        <v>144</v>
      </c>
      <c r="T171" s="32">
        <v>0</v>
      </c>
      <c r="U171" s="32">
        <v>948</v>
      </c>
      <c r="V171" s="32">
        <v>71</v>
      </c>
      <c r="W171" s="32">
        <v>0</v>
      </c>
      <c r="X171" s="32">
        <v>34968</v>
      </c>
      <c r="Y171" s="32">
        <v>32</v>
      </c>
    </row>
    <row r="172" spans="2:25" hidden="1" outlineLevel="1" x14ac:dyDescent="0.3">
      <c r="B172" s="30" t="s">
        <v>287</v>
      </c>
      <c r="L172" s="32">
        <v>40253</v>
      </c>
      <c r="M172" s="32">
        <v>30577</v>
      </c>
      <c r="N172" s="32">
        <v>83192</v>
      </c>
      <c r="O172" s="32">
        <v>55277</v>
      </c>
      <c r="P172" s="32">
        <v>26022</v>
      </c>
      <c r="Q172" s="32">
        <v>192345</v>
      </c>
      <c r="R172" s="32">
        <v>43500</v>
      </c>
      <c r="S172" s="32">
        <v>17950</v>
      </c>
      <c r="T172" s="32">
        <v>185784</v>
      </c>
      <c r="U172" s="32">
        <v>25644</v>
      </c>
      <c r="V172" s="32">
        <v>10682</v>
      </c>
      <c r="W172" s="32">
        <v>3991</v>
      </c>
      <c r="X172" s="32">
        <v>20874</v>
      </c>
      <c r="Y172" s="32">
        <v>891</v>
      </c>
    </row>
    <row r="173" spans="2:25" hidden="1" outlineLevel="1" x14ac:dyDescent="0.3">
      <c r="B173" s="30" t="s">
        <v>395</v>
      </c>
      <c r="L173" s="32">
        <v>0</v>
      </c>
      <c r="M173" s="32">
        <v>0</v>
      </c>
      <c r="N173" s="32">
        <v>0</v>
      </c>
      <c r="O173" s="32">
        <v>16000</v>
      </c>
      <c r="P173" s="32">
        <v>16000</v>
      </c>
      <c r="Q173" s="32">
        <v>0</v>
      </c>
      <c r="R173" s="32">
        <v>0</v>
      </c>
      <c r="S173" s="32">
        <v>0</v>
      </c>
      <c r="T173" s="32">
        <v>0</v>
      </c>
      <c r="U173" s="32">
        <v>0</v>
      </c>
      <c r="V173" s="32">
        <v>0</v>
      </c>
      <c r="W173" s="32">
        <v>0</v>
      </c>
      <c r="X173" s="32">
        <v>0</v>
      </c>
      <c r="Y173" s="32">
        <v>0</v>
      </c>
    </row>
    <row r="174" spans="2:25" hidden="1" outlineLevel="1" x14ac:dyDescent="0.3">
      <c r="B174" s="30" t="s">
        <v>396</v>
      </c>
      <c r="L174" s="32">
        <v>0</v>
      </c>
      <c r="M174" s="32">
        <v>300000</v>
      </c>
      <c r="N174" s="32">
        <v>16000</v>
      </c>
      <c r="O174" s="32">
        <v>0</v>
      </c>
      <c r="P174" s="32">
        <v>0</v>
      </c>
      <c r="Q174" s="32">
        <v>0</v>
      </c>
      <c r="R174" s="32">
        <v>0</v>
      </c>
      <c r="S174" s="32">
        <v>0</v>
      </c>
      <c r="T174" s="32">
        <v>0</v>
      </c>
      <c r="U174" s="32">
        <v>0</v>
      </c>
      <c r="V174" s="32">
        <v>0</v>
      </c>
      <c r="W174" s="32">
        <v>0</v>
      </c>
      <c r="X174" s="32">
        <v>0</v>
      </c>
      <c r="Y174" s="32">
        <v>0</v>
      </c>
    </row>
    <row r="175" spans="2:25" hidden="1" outlineLevel="1" x14ac:dyDescent="0.3">
      <c r="B175" s="30" t="s">
        <v>397</v>
      </c>
      <c r="L175" s="32">
        <v>5625</v>
      </c>
      <c r="M175" s="32">
        <v>5625</v>
      </c>
      <c r="N175" s="32">
        <v>0</v>
      </c>
      <c r="O175" s="32">
        <v>0</v>
      </c>
      <c r="P175" s="32">
        <v>0</v>
      </c>
      <c r="Q175" s="32">
        <v>50000</v>
      </c>
      <c r="R175" s="32">
        <v>0</v>
      </c>
      <c r="S175" s="32">
        <v>0</v>
      </c>
      <c r="T175" s="32">
        <v>27875</v>
      </c>
      <c r="U175" s="32">
        <v>7000</v>
      </c>
      <c r="V175" s="32">
        <v>2750</v>
      </c>
      <c r="W175" s="32">
        <v>94928</v>
      </c>
      <c r="X175" s="32">
        <v>90678</v>
      </c>
      <c r="Y175" s="32">
        <v>84133</v>
      </c>
    </row>
    <row r="176" spans="2:25" hidden="1" outlineLevel="1" x14ac:dyDescent="0.3">
      <c r="B176" s="30" t="s">
        <v>398</v>
      </c>
      <c r="L176" s="32">
        <v>60748</v>
      </c>
      <c r="M176" s="32">
        <v>392</v>
      </c>
      <c r="N176" s="32">
        <v>62317</v>
      </c>
      <c r="O176" s="32">
        <v>61465</v>
      </c>
      <c r="P176" s="32">
        <v>575</v>
      </c>
      <c r="Q176" s="32">
        <v>121857</v>
      </c>
      <c r="R176" s="32">
        <v>96173</v>
      </c>
      <c r="S176" s="32">
        <v>10511</v>
      </c>
      <c r="T176" s="32">
        <v>159237</v>
      </c>
      <c r="U176" s="32">
        <v>104309</v>
      </c>
      <c r="V176" s="32">
        <v>16162</v>
      </c>
      <c r="W176" s="32">
        <v>206455</v>
      </c>
      <c r="X176" s="32">
        <v>204512</v>
      </c>
      <c r="Y176" s="32">
        <v>173169</v>
      </c>
    </row>
    <row r="177" spans="2:25" hidden="1" outlineLevel="1" x14ac:dyDescent="0.3">
      <c r="B177" s="30" t="s">
        <v>399</v>
      </c>
      <c r="L177" s="32">
        <v>5351</v>
      </c>
      <c r="M177" s="32">
        <v>2668</v>
      </c>
      <c r="N177" s="32">
        <v>7086</v>
      </c>
      <c r="O177" s="32">
        <v>4717</v>
      </c>
      <c r="P177" s="32">
        <v>2366</v>
      </c>
      <c r="Q177" s="32">
        <v>4186</v>
      </c>
      <c r="R177" s="32">
        <v>2111</v>
      </c>
      <c r="S177" s="32">
        <v>2111</v>
      </c>
      <c r="T177" s="32">
        <v>5848</v>
      </c>
      <c r="U177" s="32">
        <v>3903</v>
      </c>
      <c r="V177" s="32">
        <v>1957</v>
      </c>
      <c r="W177" s="32">
        <v>5454</v>
      </c>
      <c r="X177" s="32">
        <v>3636</v>
      </c>
      <c r="Y177" s="32">
        <v>1816</v>
      </c>
    </row>
    <row r="178" spans="2:25" hidden="1" outlineLevel="1" x14ac:dyDescent="0.3">
      <c r="B178" s="30" t="s">
        <v>400</v>
      </c>
      <c r="L178" s="32">
        <v>0</v>
      </c>
      <c r="M178" s="32">
        <v>0</v>
      </c>
      <c r="N178" s="32">
        <v>39422</v>
      </c>
      <c r="O178" s="32">
        <v>14414</v>
      </c>
      <c r="P178" s="32">
        <v>0</v>
      </c>
      <c r="Q178" s="32">
        <v>100004</v>
      </c>
      <c r="R178" s="32">
        <v>68432</v>
      </c>
      <c r="S178" s="32">
        <v>18407</v>
      </c>
      <c r="T178" s="32">
        <v>34302</v>
      </c>
      <c r="U178" s="32">
        <v>34302</v>
      </c>
      <c r="V178" s="32">
        <v>34302</v>
      </c>
      <c r="W178" s="32">
        <v>34524</v>
      </c>
      <c r="X178" s="32">
        <v>0</v>
      </c>
      <c r="Y178" s="32">
        <v>0</v>
      </c>
    </row>
    <row r="179" spans="2:25" hidden="1" outlineLevel="1" x14ac:dyDescent="0.3">
      <c r="B179" s="30" t="s">
        <v>401</v>
      </c>
      <c r="L179" s="32">
        <v>0</v>
      </c>
      <c r="M179" s="32">
        <v>0</v>
      </c>
      <c r="N179" s="32">
        <v>0</v>
      </c>
      <c r="O179" s="32">
        <v>0</v>
      </c>
      <c r="P179" s="32">
        <v>0</v>
      </c>
      <c r="Q179" s="32">
        <v>0</v>
      </c>
      <c r="R179" s="32">
        <v>0</v>
      </c>
      <c r="S179" s="32">
        <v>0</v>
      </c>
      <c r="T179" s="32">
        <v>0</v>
      </c>
      <c r="U179" s="32">
        <v>0</v>
      </c>
      <c r="V179" s="32">
        <v>0</v>
      </c>
      <c r="W179" s="32">
        <v>696</v>
      </c>
      <c r="X179" s="32">
        <v>694</v>
      </c>
      <c r="Y179" s="32">
        <v>716</v>
      </c>
    </row>
    <row r="180" spans="2:25" hidden="1" outlineLevel="1" x14ac:dyDescent="0.3">
      <c r="B180" s="30" t="s">
        <v>402</v>
      </c>
      <c r="L180" s="32">
        <v>2250</v>
      </c>
      <c r="M180" s="32">
        <v>528</v>
      </c>
      <c r="N180" s="32">
        <v>5115</v>
      </c>
      <c r="O180" s="32">
        <v>5056</v>
      </c>
      <c r="P180" s="32">
        <v>1996</v>
      </c>
      <c r="Q180" s="32">
        <v>6684</v>
      </c>
      <c r="R180" s="32">
        <v>4134</v>
      </c>
      <c r="S180" s="32">
        <v>3182</v>
      </c>
      <c r="T180" s="32">
        <v>3439</v>
      </c>
      <c r="U180" s="32">
        <v>2982</v>
      </c>
      <c r="V180" s="32">
        <v>1469</v>
      </c>
      <c r="W180" s="32">
        <v>276</v>
      </c>
      <c r="X180" s="32">
        <v>248</v>
      </c>
      <c r="Y180" s="32">
        <v>99</v>
      </c>
    </row>
    <row r="181" spans="2:25" hidden="1" outlineLevel="1" x14ac:dyDescent="0.3">
      <c r="B181" s="30" t="s">
        <v>403</v>
      </c>
      <c r="L181" s="32">
        <v>5877</v>
      </c>
      <c r="M181" s="32">
        <v>5877</v>
      </c>
      <c r="N181" s="32">
        <v>12977</v>
      </c>
      <c r="O181" s="32">
        <v>12977</v>
      </c>
      <c r="P181" s="32">
        <v>12977</v>
      </c>
      <c r="Q181" s="32">
        <v>17282</v>
      </c>
      <c r="R181" s="32">
        <v>17282</v>
      </c>
      <c r="S181" s="32">
        <v>12343</v>
      </c>
      <c r="T181" s="32">
        <v>5991</v>
      </c>
      <c r="U181" s="32">
        <v>5715</v>
      </c>
      <c r="V181" s="32">
        <v>0</v>
      </c>
      <c r="W181" s="32">
        <v>0</v>
      </c>
      <c r="X181" s="32">
        <v>0</v>
      </c>
      <c r="Y181" s="32">
        <v>0</v>
      </c>
    </row>
    <row r="182" spans="2:25" hidden="1" outlineLevel="1" x14ac:dyDescent="0.3">
      <c r="B182" s="30" t="s">
        <v>404</v>
      </c>
      <c r="L182" s="32">
        <v>0</v>
      </c>
      <c r="M182" s="32">
        <v>0</v>
      </c>
      <c r="N182" s="32">
        <v>0</v>
      </c>
      <c r="O182" s="32">
        <v>0</v>
      </c>
      <c r="P182" s="32">
        <v>0</v>
      </c>
      <c r="Q182" s="32">
        <v>0</v>
      </c>
      <c r="R182" s="32">
        <v>0</v>
      </c>
      <c r="S182" s="32">
        <v>0</v>
      </c>
      <c r="T182" s="32">
        <v>0</v>
      </c>
      <c r="U182" s="32">
        <v>0</v>
      </c>
      <c r="V182" s="32">
        <v>5385</v>
      </c>
      <c r="W182" s="32">
        <v>0</v>
      </c>
      <c r="X182" s="32">
        <v>0</v>
      </c>
      <c r="Y182" s="32">
        <v>0</v>
      </c>
    </row>
    <row r="183" spans="2:25" hidden="1" outlineLevel="1" x14ac:dyDescent="0.3">
      <c r="B183" s="30" t="s">
        <v>405</v>
      </c>
      <c r="L183" s="32">
        <v>1020</v>
      </c>
      <c r="M183" s="32">
        <v>1020</v>
      </c>
      <c r="N183" s="32">
        <v>0</v>
      </c>
      <c r="O183" s="32">
        <v>0</v>
      </c>
      <c r="P183" s="32">
        <v>0</v>
      </c>
      <c r="Q183" s="32">
        <v>55</v>
      </c>
      <c r="R183" s="32">
        <v>55</v>
      </c>
      <c r="S183" s="32">
        <v>55</v>
      </c>
      <c r="T183" s="32">
        <v>2835</v>
      </c>
      <c r="U183" s="32">
        <v>0</v>
      </c>
      <c r="V183" s="32">
        <v>0</v>
      </c>
      <c r="W183" s="32">
        <v>0</v>
      </c>
      <c r="X183" s="32">
        <v>0</v>
      </c>
      <c r="Y183" s="32">
        <v>0</v>
      </c>
    </row>
    <row r="184" spans="2:25" hidden="1" outlineLevel="1" x14ac:dyDescent="0.3">
      <c r="B184" s="30" t="s">
        <v>298</v>
      </c>
      <c r="L184" s="32">
        <v>65121</v>
      </c>
      <c r="M184" s="32">
        <v>296196</v>
      </c>
      <c r="N184" s="32">
        <v>132687</v>
      </c>
      <c r="O184" s="32">
        <v>104517</v>
      </c>
      <c r="P184" s="32">
        <v>29922</v>
      </c>
      <c r="Q184" s="32">
        <v>186700</v>
      </c>
      <c r="R184" s="32">
        <v>179919</v>
      </c>
      <c r="S184" s="32">
        <v>40245</v>
      </c>
      <c r="T184" s="32">
        <v>176899</v>
      </c>
      <c r="U184" s="32">
        <v>138247</v>
      </c>
      <c r="V184" s="32">
        <v>53587</v>
      </c>
      <c r="W184" s="32">
        <v>151925</v>
      </c>
      <c r="X184" s="32">
        <v>117916</v>
      </c>
      <c r="Y184" s="32">
        <v>91469</v>
      </c>
    </row>
    <row r="185" spans="2:25" hidden="1" outlineLevel="1" x14ac:dyDescent="0.3">
      <c r="B185" s="30" t="s">
        <v>406</v>
      </c>
      <c r="L185" s="32">
        <v>79</v>
      </c>
      <c r="M185" s="32">
        <v>117</v>
      </c>
      <c r="N185" s="32">
        <v>102</v>
      </c>
      <c r="O185" s="32">
        <v>119</v>
      </c>
      <c r="P185" s="32">
        <v>82</v>
      </c>
      <c r="Q185" s="32">
        <v>1</v>
      </c>
      <c r="R185" s="32">
        <v>75</v>
      </c>
      <c r="S185" s="32">
        <v>8</v>
      </c>
      <c r="T185" s="32">
        <v>102</v>
      </c>
      <c r="U185" s="32">
        <v>57</v>
      </c>
      <c r="V185" s="32">
        <v>19</v>
      </c>
      <c r="W185" s="32">
        <v>0</v>
      </c>
      <c r="X185" s="32">
        <v>0</v>
      </c>
      <c r="Y185" s="32">
        <v>0</v>
      </c>
    </row>
    <row r="186" spans="2:25" hidden="1" outlineLevel="1" x14ac:dyDescent="0.3">
      <c r="B186" s="30" t="s">
        <v>407</v>
      </c>
      <c r="L186" s="32">
        <v>255302</v>
      </c>
      <c r="M186" s="32">
        <v>493262</v>
      </c>
      <c r="N186" s="32">
        <v>134983</v>
      </c>
      <c r="O186" s="32">
        <v>84964</v>
      </c>
      <c r="P186" s="32">
        <v>108876</v>
      </c>
      <c r="Q186" s="32">
        <v>16051</v>
      </c>
      <c r="R186" s="32">
        <v>43286</v>
      </c>
      <c r="S186" s="32">
        <v>138373</v>
      </c>
      <c r="T186" s="32">
        <v>182308</v>
      </c>
      <c r="U186" s="32">
        <v>48226</v>
      </c>
      <c r="V186" s="32">
        <v>39929</v>
      </c>
      <c r="W186" s="32">
        <v>304544</v>
      </c>
      <c r="X186" s="32">
        <v>227297</v>
      </c>
      <c r="Y186" s="32">
        <v>103963</v>
      </c>
    </row>
    <row r="187" spans="2:25" hidden="1" outlineLevel="1" x14ac:dyDescent="0.3">
      <c r="B187" s="30" t="s">
        <v>408</v>
      </c>
      <c r="L187" s="32">
        <v>57755</v>
      </c>
      <c r="M187" s="32">
        <v>57755</v>
      </c>
      <c r="N187" s="32">
        <v>15278</v>
      </c>
      <c r="O187" s="32">
        <v>15278</v>
      </c>
      <c r="P187" s="32">
        <v>15278</v>
      </c>
      <c r="Q187" s="32">
        <v>51037</v>
      </c>
      <c r="R187" s="32">
        <v>51037</v>
      </c>
      <c r="S187" s="32">
        <v>51037</v>
      </c>
      <c r="T187" s="32">
        <v>308561</v>
      </c>
      <c r="U187" s="32">
        <v>308561</v>
      </c>
      <c r="V187" s="32">
        <v>308561</v>
      </c>
      <c r="W187" s="32">
        <v>14942</v>
      </c>
      <c r="X187" s="32">
        <v>14942</v>
      </c>
      <c r="Y187" s="32">
        <v>14942</v>
      </c>
    </row>
    <row r="188" spans="2:25" hidden="1" outlineLevel="1" x14ac:dyDescent="0.3">
      <c r="B188" s="30" t="s">
        <v>409</v>
      </c>
      <c r="L188" s="32">
        <v>313057</v>
      </c>
      <c r="M188" s="32">
        <v>551017</v>
      </c>
      <c r="N188" s="32">
        <v>150261</v>
      </c>
      <c r="O188" s="32">
        <v>100242</v>
      </c>
      <c r="P188" s="32">
        <v>124154</v>
      </c>
      <c r="Q188" s="32">
        <v>34986</v>
      </c>
      <c r="R188" s="32">
        <v>94323</v>
      </c>
      <c r="S188" s="32">
        <v>189410</v>
      </c>
      <c r="T188" s="32">
        <v>126253</v>
      </c>
      <c r="U188" s="32">
        <v>260335</v>
      </c>
      <c r="V188" s="32">
        <v>348490</v>
      </c>
      <c r="W188" s="32">
        <v>319486</v>
      </c>
      <c r="X188" s="32">
        <v>242239</v>
      </c>
      <c r="Y188" s="32">
        <v>118905</v>
      </c>
    </row>
    <row r="189" spans="2:25" collapsed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EDCDDBC-2AAE-40A8-994B-789FFF04906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AAN!L36:V36</xm:f>
              <xm:sqref>W36</xm:sqref>
            </x14:sparkline>
            <x14:sparkline>
              <xm:f>AAN!L40:V40</xm:f>
              <xm:sqref>W40</xm:sqref>
            </x14:sparkline>
            <x14:sparkline>
              <xm:f>AAN!L41:V41</xm:f>
              <xm:sqref>W41</xm:sqref>
            </x14:sparkline>
          </x14:sparklines>
        </x14:sparklineGroup>
        <x14:sparklineGroup displayEmptyCellsAs="gap" xr2:uid="{A9700A28-D4EB-483B-A8C9-51235ED8649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AAN!L33:V33</xm:f>
              <xm:sqref>W33</xm:sqref>
            </x14:sparkline>
            <x14:sparkline>
              <xm:f>AAN!L28:V28</xm:f>
              <xm:sqref>W28</xm:sqref>
            </x14:sparkline>
            <x14:sparkline>
              <xm:f>AAN!L29:V29</xm:f>
              <xm:sqref>W29</xm:sqref>
            </x14:sparkline>
          </x14:sparklines>
        </x14:sparklineGroup>
        <x14:sparklineGroup displayEmptyCellsAs="gap" xr2:uid="{D5C7F997-650F-42F7-A346-A9D71B73142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AAN!L35:V35</xm:f>
              <xm:sqref>W35</xm:sqref>
            </x14:sparkline>
            <x14:sparkline>
              <xm:f>AAN!L30:V30</xm:f>
              <xm:sqref>W30</xm:sqref>
            </x14:sparkline>
            <x14:sparkline>
              <xm:f>AAN!L32:V32</xm:f>
              <xm:sqref>W32</xm:sqref>
            </x14:sparkline>
          </x14:sparklines>
        </x14:sparklineGroup>
        <x14:sparklineGroup displayEmptyCellsAs="gap" xr2:uid="{F0C36F79-0541-4494-994E-1AFBA5F0791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AAN!L34:V34</xm:f>
              <xm:sqref>W34</xm:sqref>
            </x14:sparkline>
          </x14:sparklines>
        </x14:sparklineGroup>
        <x14:sparklineGroup displayEmptyCellsAs="gap" xr2:uid="{DA7B0829-DF1A-423D-BA61-0A5CDB12DAB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AAN!L39:V39</xm:f>
              <xm:sqref>W39</xm:sqref>
            </x14:sparkline>
          </x14:sparklines>
        </x14:sparklineGroup>
        <x14:sparklineGroup displayEmptyCellsAs="gap" xr2:uid="{C6B1CFAC-6FCC-431A-A6AB-E9CF21DA629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AAN!L43:V43</xm:f>
              <xm:sqref>W43</xm:sqref>
            </x14:sparkline>
          </x14:sparklines>
        </x14:sparklineGroup>
        <x14:sparklineGroup displayEmptyCellsAs="gap" xr2:uid="{13D7A6FC-C7A4-4024-87F6-E253223BD7F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AAN!L44:V44</xm:f>
              <xm:sqref>W44</xm:sqref>
            </x14:sparkline>
            <x14:sparkline>
              <xm:f>AAN!L45:V45</xm:f>
              <xm:sqref>W45</xm:sqref>
            </x14:sparkline>
          </x14:sparklines>
        </x14:sparklineGroup>
        <x14:sparklineGroup displayEmptyCellsAs="gap" xr2:uid="{526FDD29-251A-4F98-AD9F-DC01EDF36A1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AAN!L24:V24</xm:f>
              <xm:sqref>W24</xm:sqref>
            </x14:sparkline>
          </x14:sparklines>
        </x14:sparklineGroup>
        <x14:sparklineGroup displayEmptyCellsAs="gap" xr2:uid="{B4B9004E-556B-424B-B0A6-5DA919C407D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AAN!L25:V25</xm:f>
              <xm:sqref>W25</xm:sqref>
            </x14:sparkline>
            <x14:sparkline>
              <xm:f>AAN!L26:V26</xm:f>
              <xm:sqref>W26</xm:sqref>
            </x14:sparkline>
            <x14:sparkline>
              <xm:f>AAN!L27:V27</xm:f>
              <xm:sqref>W27</xm:sqref>
            </x14:sparkline>
          </x14:sparklines>
        </x14:sparklineGroup>
        <x14:sparklineGroup displayEmptyCellsAs="gap" xr2:uid="{E0BB83CF-62CA-4979-83B6-978E56FE170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AAN!L13:V13</xm:f>
              <xm:sqref>W13</xm:sqref>
            </x14:sparkline>
            <x14:sparkline>
              <xm:f>AAN!L14:V14</xm:f>
              <xm:sqref>W14</xm:sqref>
            </x14:sparkline>
            <x14:sparkline>
              <xm:f>AAN!L15:V15</xm:f>
              <xm:sqref>W15</xm:sqref>
            </x14:sparkline>
            <x14:sparkline>
              <xm:f>AAN!L16:V16</xm:f>
              <xm:sqref>W16</xm:sqref>
            </x14:sparkline>
            <x14:sparkline>
              <xm:f>AAN!L17:V17</xm:f>
              <xm:sqref>W17</xm:sqref>
            </x14:sparkline>
            <x14:sparkline>
              <xm:f>AAN!L18:V18</xm:f>
              <xm:sqref>W18</xm:sqref>
            </x14:sparkline>
            <x14:sparkline>
              <xm:f>AAN!L19:V19</xm:f>
              <xm:sqref>W19</xm:sqref>
            </x14:sparkline>
          </x14:sparklines>
        </x14:sparklineGroup>
        <x14:sparklineGroup displayEmptyCellsAs="gap" xr2:uid="{4B76756B-3829-4DBC-94B7-0A1A7D7C8D9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AAN!L9:V9</xm:f>
              <xm:sqref>W9</xm:sqref>
            </x14:sparkline>
            <x14:sparkline>
              <xm:f>AAN!L10:V10</xm:f>
              <xm:sqref>W10</xm:sqref>
            </x14:sparkline>
            <x14:sparkline>
              <xm:f>AAN!L11:V11</xm:f>
              <xm:sqref>W11</xm:sqref>
            </x14:sparkline>
            <x14:sparkline>
              <xm:f>AAN!L12:V12</xm:f>
              <xm:sqref>W12</xm:sqref>
            </x14:sparkline>
            <x14:sparkline>
              <xm:f>AAN!L20:V20</xm:f>
              <xm:sqref>W20</xm:sqref>
            </x14:sparkline>
            <x14:sparkline>
              <xm:f>AAN!L21:V21</xm:f>
              <xm:sqref>W21</xm:sqref>
            </x14:sparkline>
            <x14:sparkline>
              <xm:f>AAN!L22:V22</xm:f>
              <xm:sqref>W22</xm:sqref>
            </x14:sparkline>
          </x14:sparklines>
        </x14:sparklineGroup>
        <x14:sparklineGroup displayEmptyCellsAs="gap" xr2:uid="{CDCB966F-E42B-43E5-BD4E-D57B72E57F1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AAN!L42:V42</xm:f>
              <xm:sqref>W42</xm:sqref>
            </x14:sparkline>
          </x14:sparklines>
        </x14:sparklineGroup>
        <x14:sparklineGroup displayEmptyCellsAs="gap" xr2:uid="{9F023C17-EB31-43FB-A278-5C0960F6B6B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AAN!L31:V31</xm:f>
              <xm:sqref>W31</xm:sqref>
            </x14:sparkline>
            <x14:sparkline>
              <xm:f>AAN!L37:V37</xm:f>
              <xm:sqref>W37</xm:sqref>
            </x14:sparkline>
            <x14:sparkline>
              <xm:f>AAN!L38:V38</xm:f>
              <xm:sqref>W38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3E91-68A8-4F17-8125-3DC3AD55A6B4}">
  <sheetPr>
    <tabColor theme="4" tint="0.79998168889431442"/>
  </sheetPr>
  <dimension ref="B1:AO122"/>
  <sheetViews>
    <sheetView showGridLines="0" zoomScale="89" zoomScaleNormal="89" workbookViewId="0">
      <pane xSplit="3" ySplit="27" topLeftCell="D28" activePane="bottomRight" state="frozen"/>
      <selection activeCell="B1" sqref="B1:B1048576"/>
      <selection pane="topRight" activeCell="B1" sqref="B1:B1048576"/>
      <selection pane="bottomLeft" activeCell="B1" sqref="B1:B1048576"/>
      <selection pane="bottomRight"/>
    </sheetView>
  </sheetViews>
  <sheetFormatPr defaultColWidth="9.109375" defaultRowHeight="14.4" outlineLevelRow="2" outlineLevelCol="1" x14ac:dyDescent="0.3"/>
  <cols>
    <col min="1" max="1" width="2.6640625" style="24" customWidth="1"/>
    <col min="2" max="2" width="65.6640625" style="24" customWidth="1"/>
    <col min="3" max="3" width="2.6640625" customWidth="1"/>
    <col min="4" max="7" width="12.6640625" style="32" customWidth="1"/>
    <col min="8" max="10" width="12.6640625" style="32" hidden="1" customWidth="1" outlineLevel="1"/>
    <col min="11" max="11" width="2.6640625" customWidth="1" collapsed="1"/>
    <col min="12" max="24" width="12.6640625" style="32" customWidth="1"/>
    <col min="25" max="26" width="2.6640625" customWidth="1"/>
    <col min="27" max="181" width="12" style="24" customWidth="1"/>
    <col min="182" max="16384" width="9.109375" style="24"/>
  </cols>
  <sheetData>
    <row r="1" spans="2:27" ht="6.9" customHeight="1" x14ac:dyDescent="0.3"/>
    <row r="3" spans="2:27" x14ac:dyDescent="0.3">
      <c r="AA3" s="32"/>
    </row>
    <row r="4" spans="2:27" x14ac:dyDescent="0.3">
      <c r="F4" s="59"/>
    </row>
    <row r="5" spans="2:27" ht="6.9" customHeight="1" x14ac:dyDescent="0.3"/>
    <row r="6" spans="2:27" s="36" customFormat="1" ht="22.8" x14ac:dyDescent="0.4">
      <c r="B6" s="37" t="s">
        <v>410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/>
      <c r="Z6"/>
    </row>
    <row r="7" spans="2:27" s="58" customFormat="1" ht="6.9" customHeight="1" x14ac:dyDescent="0.3">
      <c r="C7" s="3"/>
      <c r="D7" s="59"/>
      <c r="E7" s="59"/>
      <c r="F7" s="59"/>
      <c r="G7" s="59"/>
      <c r="H7" s="59"/>
      <c r="I7" s="59"/>
      <c r="J7" s="59"/>
      <c r="K7" s="3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/>
      <c r="Z7"/>
    </row>
    <row r="8" spans="2:27" s="58" customFormat="1" x14ac:dyDescent="0.3">
      <c r="F8" s="179" t="s">
        <v>411</v>
      </c>
      <c r="G8" s="176" t="b">
        <v>1</v>
      </c>
      <c r="H8" s="59"/>
      <c r="I8" s="59"/>
      <c r="J8" s="59"/>
      <c r="K8" s="3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/>
      <c r="Z8"/>
    </row>
    <row r="9" spans="2:27" ht="6.9" customHeight="1" x14ac:dyDescent="0.3"/>
    <row r="10" spans="2:27" s="27" customFormat="1" hidden="1" outlineLevel="1" x14ac:dyDescent="0.3">
      <c r="B10" s="56" t="s">
        <v>183</v>
      </c>
      <c r="C10"/>
      <c r="D10" s="63">
        <f>D26</f>
        <v>44502</v>
      </c>
      <c r="E10" s="63">
        <f t="shared" ref="E10:G10" si="0">E26</f>
        <v>44409</v>
      </c>
      <c r="F10" s="63">
        <f t="shared" si="0"/>
        <v>44318</v>
      </c>
      <c r="G10" s="63">
        <f t="shared" si="0"/>
        <v>44137</v>
      </c>
      <c r="H10" s="132" t="s">
        <v>184</v>
      </c>
      <c r="I10" s="114" t="s">
        <v>185</v>
      </c>
      <c r="J10" s="96" t="s">
        <v>186</v>
      </c>
      <c r="K10"/>
      <c r="L10" s="63">
        <f t="shared" ref="L10:U10" si="1">L26</f>
        <v>44044</v>
      </c>
      <c r="M10" s="63">
        <f t="shared" si="1"/>
        <v>43953</v>
      </c>
      <c r="N10" s="63">
        <f t="shared" si="1"/>
        <v>43771</v>
      </c>
      <c r="O10" s="63">
        <f t="shared" si="1"/>
        <v>43680</v>
      </c>
      <c r="P10" s="63">
        <f t="shared" si="1"/>
        <v>43589</v>
      </c>
      <c r="Q10" s="63">
        <f t="shared" si="1"/>
        <v>43407</v>
      </c>
      <c r="R10" s="63">
        <f t="shared" si="1"/>
        <v>43316</v>
      </c>
      <c r="S10" s="63">
        <f t="shared" si="1"/>
        <v>43225</v>
      </c>
      <c r="T10" s="63">
        <f t="shared" si="1"/>
        <v>43036</v>
      </c>
      <c r="U10" s="63">
        <f t="shared" si="1"/>
        <v>42945</v>
      </c>
      <c r="V10" s="63" t="s">
        <v>187</v>
      </c>
      <c r="W10"/>
      <c r="X10"/>
      <c r="Y10"/>
      <c r="Z10"/>
    </row>
    <row r="11" spans="2:27" hidden="1" outlineLevel="2" x14ac:dyDescent="0.3">
      <c r="B11" s="180" t="s">
        <v>412</v>
      </c>
      <c r="D11" s="81">
        <f t="shared" ref="D11:G15" si="2">IF($G$8, AVERAGE($N11:$Q11), AVERAGE($L11:$M11))</f>
        <v>-2.8716981734438762E-3</v>
      </c>
      <c r="E11" s="81">
        <f t="shared" si="2"/>
        <v>-2.8716981734438762E-3</v>
      </c>
      <c r="F11" s="81">
        <f t="shared" si="2"/>
        <v>-2.8716981734438762E-3</v>
      </c>
      <c r="G11" s="81">
        <f t="shared" si="2"/>
        <v>-2.8716981734438762E-3</v>
      </c>
      <c r="H11" s="134"/>
      <c r="I11" s="116"/>
      <c r="J11" s="90"/>
      <c r="L11" s="60">
        <f>IFERROR(L29 / O29 - 1, 0)</f>
        <v>-0.2096055752839221</v>
      </c>
      <c r="M11" s="60">
        <f t="shared" ref="M11:U11" si="3">IFERROR(M29 / P29 - 1, 0)</f>
        <v>-0.5667350679189358</v>
      </c>
      <c r="N11" s="60">
        <f t="shared" si="3"/>
        <v>7.7970323377258843E-3</v>
      </c>
      <c r="O11" s="60">
        <f t="shared" si="3"/>
        <v>1.696414758663356E-2</v>
      </c>
      <c r="P11" s="60">
        <f t="shared" si="3"/>
        <v>-3.3721004130918386E-2</v>
      </c>
      <c r="Q11" s="60">
        <f t="shared" si="3"/>
        <v>-2.5269684872165632E-3</v>
      </c>
      <c r="R11" s="60">
        <f t="shared" si="3"/>
        <v>8.8866777872074199E-3</v>
      </c>
      <c r="S11" s="60">
        <f t="shared" si="3"/>
        <v>-6.8586817024678393E-3</v>
      </c>
      <c r="T11" s="60">
        <f t="shared" si="3"/>
        <v>-9.0106365507047537E-2</v>
      </c>
      <c r="U11" s="60">
        <f t="shared" si="3"/>
        <v>-0.28186285670252231</v>
      </c>
      <c r="V11"/>
      <c r="X11"/>
    </row>
    <row r="12" spans="2:27" hidden="1" outlineLevel="2" x14ac:dyDescent="0.3">
      <c r="B12" s="180" t="s">
        <v>413</v>
      </c>
      <c r="D12" s="81">
        <f t="shared" si="2"/>
        <v>5.34675070169921E-2</v>
      </c>
      <c r="E12" s="81">
        <f t="shared" si="2"/>
        <v>5.34675070169921E-2</v>
      </c>
      <c r="F12" s="81">
        <f t="shared" si="2"/>
        <v>5.34675070169921E-2</v>
      </c>
      <c r="G12" s="81">
        <f t="shared" si="2"/>
        <v>5.34675070169921E-2</v>
      </c>
      <c r="H12" s="134"/>
      <c r="I12" s="116"/>
      <c r="J12" s="90"/>
      <c r="L12" s="60">
        <f>IFERROR(L30 / O30 - 1, 0)</f>
        <v>-0.1434352517985612</v>
      </c>
      <c r="M12" s="60">
        <f t="shared" ref="M12" si="4">IFERROR(M30 / P30 - 1, 0)</f>
        <v>-0.16017505470459514</v>
      </c>
      <c r="N12" s="60">
        <f t="shared" ref="N12" si="5">IFERROR(N30 / Q30 - 1, 0)</f>
        <v>2.1698113207547109E-2</v>
      </c>
      <c r="O12" s="60">
        <f t="shared" ref="O12" si="6">IFERROR(O30 / R30 - 1, 0)</f>
        <v>7.491541807636537E-2</v>
      </c>
      <c r="P12" s="60">
        <f t="shared" ref="P12" si="7">IFERROR(P30 / S30 - 1, 0)</f>
        <v>4.39560439560438E-3</v>
      </c>
      <c r="Q12" s="60">
        <f t="shared" ref="Q12" si="8">IFERROR(Q30 / T30 - 1, 0)</f>
        <v>0.11286089238845154</v>
      </c>
      <c r="R12" s="60">
        <f t="shared" ref="R12" si="9">IFERROR(R30 / U30 - 1, 0)</f>
        <v>6.9250645994832105E-2</v>
      </c>
      <c r="S12" s="60">
        <f t="shared" ref="S12" si="10">IFERROR(S30 / V30 - 1, 0)</f>
        <v>9.060402684563762E-2</v>
      </c>
      <c r="T12" s="60">
        <f t="shared" ref="T12" si="11">IFERROR(T30 / W30 - 1, 0)</f>
        <v>-0.1495535714285714</v>
      </c>
      <c r="U12" s="60">
        <f t="shared" ref="U12" si="12">IFERROR(U30 / X30 - 1, 0)</f>
        <v>-0.21849757673667203</v>
      </c>
      <c r="V12"/>
      <c r="W12"/>
      <c r="X12"/>
    </row>
    <row r="13" spans="2:27" hidden="1" outlineLevel="2" x14ac:dyDescent="0.3">
      <c r="B13" s="30" t="s">
        <v>414</v>
      </c>
      <c r="D13" s="177">
        <f t="shared" si="2"/>
        <v>0.62440269616388766</v>
      </c>
      <c r="E13" s="177">
        <f t="shared" si="2"/>
        <v>0.62440269616388766</v>
      </c>
      <c r="F13" s="177">
        <f t="shared" si="2"/>
        <v>0.62440269616388766</v>
      </c>
      <c r="G13" s="177">
        <f t="shared" si="2"/>
        <v>0.62440269616388766</v>
      </c>
      <c r="H13" s="134"/>
      <c r="I13" s="116"/>
      <c r="J13" s="90"/>
      <c r="L13" s="60">
        <f>L32 / L29</f>
        <v>0.79833999939855049</v>
      </c>
      <c r="M13" s="60">
        <f t="shared" ref="M13:U13" si="13">M32 / M29</f>
        <v>0.84601216439132498</v>
      </c>
      <c r="N13" s="60">
        <f t="shared" si="13"/>
        <v>0.62645690415458632</v>
      </c>
      <c r="O13" s="60">
        <f t="shared" si="13"/>
        <v>0.61976544636023523</v>
      </c>
      <c r="P13" s="60">
        <f t="shared" si="13"/>
        <v>0.59668253926494963</v>
      </c>
      <c r="Q13" s="60">
        <f t="shared" si="13"/>
        <v>0.65470589487577968</v>
      </c>
      <c r="R13" s="60">
        <f t="shared" si="13"/>
        <v>0.62751875773514854</v>
      </c>
      <c r="S13" s="60">
        <f t="shared" si="13"/>
        <v>0.60284715602160788</v>
      </c>
      <c r="T13" s="60">
        <f t="shared" si="13"/>
        <v>0.66073855431920492</v>
      </c>
      <c r="U13" s="60">
        <f t="shared" si="13"/>
        <v>0.68897603230809756</v>
      </c>
      <c r="V13"/>
      <c r="W13"/>
      <c r="X13"/>
    </row>
    <row r="14" spans="2:27" hidden="1" outlineLevel="2" x14ac:dyDescent="0.3">
      <c r="B14" s="30" t="s">
        <v>190</v>
      </c>
      <c r="D14" s="81">
        <f t="shared" si="2"/>
        <v>3.5713317515323181E-2</v>
      </c>
      <c r="E14" s="81">
        <f t="shared" si="2"/>
        <v>3.5713317515323181E-2</v>
      </c>
      <c r="F14" s="81">
        <f t="shared" si="2"/>
        <v>3.5713317515323181E-2</v>
      </c>
      <c r="G14" s="81">
        <f t="shared" si="2"/>
        <v>3.5713317515323181E-2</v>
      </c>
      <c r="H14" s="134"/>
      <c r="I14" s="116"/>
      <c r="J14" s="90"/>
      <c r="L14" s="80">
        <f>L34 / L56</f>
        <v>3.9510647938377885E-2</v>
      </c>
      <c r="M14" s="80">
        <f t="shared" ref="M14:U14" si="14">M34 / M56</f>
        <v>3.2630918732232603E-2</v>
      </c>
      <c r="N14" s="80">
        <f t="shared" si="14"/>
        <v>3.3704811089970102E-2</v>
      </c>
      <c r="O14" s="80">
        <f t="shared" si="14"/>
        <v>3.8378421642388347E-2</v>
      </c>
      <c r="P14" s="80">
        <f t="shared" si="14"/>
        <v>3.4554691363575057E-2</v>
      </c>
      <c r="Q14" s="80">
        <f t="shared" si="14"/>
        <v>3.6215345965359233E-2</v>
      </c>
      <c r="R14" s="80">
        <f t="shared" si="14"/>
        <v>3.9743467024026036E-2</v>
      </c>
      <c r="S14" s="80">
        <f t="shared" si="14"/>
        <v>3.9150261372483591E-2</v>
      </c>
      <c r="T14" s="80">
        <f t="shared" si="14"/>
        <v>3.9502829457667712E-2</v>
      </c>
      <c r="U14" s="80">
        <f t="shared" si="14"/>
        <v>4.5971166793788903E-2</v>
      </c>
      <c r="V14"/>
      <c r="W14"/>
      <c r="X14"/>
    </row>
    <row r="15" spans="2:27" hidden="1" outlineLevel="2" x14ac:dyDescent="0.3">
      <c r="B15" s="30" t="s">
        <v>415</v>
      </c>
      <c r="D15" s="81">
        <f t="shared" si="2"/>
        <v>6.6499290916382202E-3</v>
      </c>
      <c r="E15" s="81">
        <f t="shared" si="2"/>
        <v>6.6499290916382202E-3</v>
      </c>
      <c r="F15" s="81">
        <f t="shared" si="2"/>
        <v>6.6499290916382202E-3</v>
      </c>
      <c r="G15" s="81">
        <f t="shared" si="2"/>
        <v>6.6499290916382202E-3</v>
      </c>
      <c r="H15" s="134"/>
      <c r="I15" s="116"/>
      <c r="J15" s="90"/>
      <c r="L15" s="81">
        <f>L35 / SUM(AVERAGE(L50:M50), AVERAGE(L51:M51))</f>
        <v>6.748950963007181E-3</v>
      </c>
      <c r="M15" s="81">
        <f t="shared" ref="M15:U15" si="15">M35 / SUM(AVERAGE(M50:N50), AVERAGE(M51:N51))</f>
        <v>9.9419916210119232E-3</v>
      </c>
      <c r="N15" s="81">
        <f t="shared" si="15"/>
        <v>7.259100081239026E-3</v>
      </c>
      <c r="O15" s="81">
        <f t="shared" si="15"/>
        <v>7.6214228156498021E-3</v>
      </c>
      <c r="P15" s="81">
        <f t="shared" si="15"/>
        <v>5.3991625594692087E-3</v>
      </c>
      <c r="Q15" s="81">
        <f t="shared" si="15"/>
        <v>6.3200309101948448E-3</v>
      </c>
      <c r="R15" s="81">
        <f t="shared" si="15"/>
        <v>6.453023924890589E-3</v>
      </c>
      <c r="S15" s="81">
        <f t="shared" si="15"/>
        <v>3.4787663759236146E-3</v>
      </c>
      <c r="T15" s="81">
        <f t="shared" si="15"/>
        <v>5.3037970767238441E-3</v>
      </c>
      <c r="U15" s="81">
        <f t="shared" si="15"/>
        <v>5.6675344945595505E-3</v>
      </c>
      <c r="V15"/>
      <c r="W15"/>
      <c r="X15"/>
    </row>
    <row r="16" spans="2:27" hidden="1" outlineLevel="2" x14ac:dyDescent="0.3">
      <c r="B16" s="30" t="s">
        <v>191</v>
      </c>
      <c r="D16" s="81">
        <f>IF($G$8, AVERAGE($O16:$P16), AVERAGE($L16:$M16))</f>
        <v>0.16060676156583631</v>
      </c>
      <c r="E16" s="81">
        <f>IF($G$8, AVERAGE($O16:$P16), AVERAGE($L16:$M16))</f>
        <v>0.16060676156583631</v>
      </c>
      <c r="F16" s="81">
        <f>IF($G$8, AVERAGE($O16:$P16), AVERAGE($L16:$M16))</f>
        <v>0.16060676156583631</v>
      </c>
      <c r="G16" s="81">
        <f>IF($G$8, AVERAGE($O16:$P16), AVERAGE($L16:$M16))</f>
        <v>0.16060676156583631</v>
      </c>
      <c r="H16" s="134"/>
      <c r="I16" s="116"/>
      <c r="J16" s="90"/>
      <c r="L16" s="60">
        <f>L38 / L37</f>
        <v>0.35113122171945699</v>
      </c>
      <c r="M16" s="60">
        <f t="shared" ref="M16:U16" si="16">M38 / M37</f>
        <v>0.24283925288428232</v>
      </c>
      <c r="N16" s="60">
        <f t="shared" si="16"/>
        <v>8.4493041749502985E-3</v>
      </c>
      <c r="O16" s="60">
        <f t="shared" si="16"/>
        <v>0.15242857142857144</v>
      </c>
      <c r="P16" s="60">
        <f t="shared" si="16"/>
        <v>0.16878495170310118</v>
      </c>
      <c r="Q16" s="60">
        <f t="shared" si="16"/>
        <v>-0.51213688818145642</v>
      </c>
      <c r="R16" s="60">
        <f t="shared" si="16"/>
        <v>0.13607890177262427</v>
      </c>
      <c r="S16" s="60">
        <f t="shared" si="16"/>
        <v>0.11935750827565453</v>
      </c>
      <c r="T16" s="60">
        <f t="shared" si="16"/>
        <v>20.808823529411764</v>
      </c>
      <c r="U16" s="60">
        <f t="shared" si="16"/>
        <v>0.58638497652582156</v>
      </c>
      <c r="V16"/>
      <c r="W16"/>
      <c r="X16"/>
    </row>
    <row r="17" spans="2:41" hidden="1" outlineLevel="2" x14ac:dyDescent="0.3">
      <c r="B17" s="30" t="s">
        <v>416</v>
      </c>
      <c r="D17" s="80">
        <f t="shared" ref="D17:G17" si="17">AVERAGE($L17:$O17)</f>
        <v>3.9834400310209385E-2</v>
      </c>
      <c r="E17" s="80">
        <f t="shared" si="17"/>
        <v>3.9834400310209385E-2</v>
      </c>
      <c r="F17" s="80">
        <f t="shared" si="17"/>
        <v>3.9834400310209385E-2</v>
      </c>
      <c r="G17" s="80">
        <f t="shared" si="17"/>
        <v>3.9834400310209385E-2</v>
      </c>
      <c r="H17" s="134"/>
      <c r="I17" s="116"/>
      <c r="J17" s="90"/>
      <c r="L17" s="80">
        <f>L40 / L39</f>
        <v>4.4630404463040445E-2</v>
      </c>
      <c r="M17" s="80">
        <f t="shared" ref="M17:U17" si="18">M40 / M39</f>
        <v>3.9940880458880244E-2</v>
      </c>
      <c r="N17" s="80">
        <f t="shared" si="18"/>
        <v>3.6758563074352546E-2</v>
      </c>
      <c r="O17" s="80">
        <f t="shared" si="18"/>
        <v>3.8007753244564305E-2</v>
      </c>
      <c r="P17" s="80">
        <f t="shared" si="18"/>
        <v>0</v>
      </c>
      <c r="Q17" s="80">
        <f t="shared" si="18"/>
        <v>0</v>
      </c>
      <c r="R17" s="80">
        <f t="shared" si="18"/>
        <v>2.9620487503856836E-2</v>
      </c>
      <c r="S17" s="80">
        <f t="shared" si="18"/>
        <v>2.3963094271923453E-2</v>
      </c>
      <c r="T17" s="80">
        <f t="shared" si="18"/>
        <v>0</v>
      </c>
      <c r="U17" s="80">
        <f t="shared" si="18"/>
        <v>-3.1782065834279227E-2</v>
      </c>
      <c r="V17"/>
      <c r="W17"/>
      <c r="X17"/>
    </row>
    <row r="18" spans="2:41" hidden="1" outlineLevel="1" x14ac:dyDescent="0.3">
      <c r="B18" s="30"/>
      <c r="D18" s="61"/>
      <c r="E18" s="61"/>
      <c r="F18" s="61"/>
      <c r="G18" s="61"/>
      <c r="H18" s="61"/>
      <c r="I18" s="61"/>
      <c r="J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/>
      <c r="W18"/>
      <c r="X18"/>
      <c r="AB18" s="174"/>
      <c r="AC18" s="175"/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</row>
    <row r="19" spans="2:41" hidden="1" outlineLevel="2" x14ac:dyDescent="0.3">
      <c r="B19" s="30" t="s">
        <v>417</v>
      </c>
      <c r="D19" s="81">
        <f t="shared" ref="D19:G21" si="19">IF($G$8, AVERAGE($N19:$S19), AVERAGE($L19))</f>
        <v>1.79022011288942</v>
      </c>
      <c r="E19" s="81">
        <f t="shared" si="19"/>
        <v>1.79022011288942</v>
      </c>
      <c r="F19" s="81">
        <f t="shared" si="19"/>
        <v>1.79022011288942</v>
      </c>
      <c r="G19" s="81">
        <f t="shared" si="19"/>
        <v>1.79022011288942</v>
      </c>
      <c r="H19" s="134"/>
      <c r="I19" s="116"/>
      <c r="J19" s="90"/>
      <c r="L19" s="60">
        <f>L59 / L$29</f>
        <v>1.6879680028869575</v>
      </c>
      <c r="M19" s="60">
        <f t="shared" ref="M19:U19" si="20">M59 / M$29</f>
        <v>3.1484116462408793</v>
      </c>
      <c r="N19" s="60">
        <f t="shared" si="20"/>
        <v>1.9763726717258934</v>
      </c>
      <c r="O19" s="60">
        <f t="shared" si="20"/>
        <v>1.7556534843147602</v>
      </c>
      <c r="P19" s="60">
        <f t="shared" si="20"/>
        <v>1.5793805301973991</v>
      </c>
      <c r="Q19" s="60">
        <f t="shared" si="20"/>
        <v>1.9954761245822068</v>
      </c>
      <c r="R19" s="60">
        <f t="shared" si="20"/>
        <v>1.8292901067450495</v>
      </c>
      <c r="S19" s="60">
        <f t="shared" si="20"/>
        <v>1.6051477597712107</v>
      </c>
      <c r="T19" s="60">
        <f t="shared" si="20"/>
        <v>2.0885553809564259</v>
      </c>
      <c r="U19" s="60">
        <f t="shared" si="20"/>
        <v>1.9097041350853063</v>
      </c>
      <c r="V19"/>
      <c r="W19"/>
      <c r="X19"/>
    </row>
    <row r="20" spans="2:41" hidden="1" outlineLevel="2" x14ac:dyDescent="0.3">
      <c r="B20" s="30" t="s">
        <v>418</v>
      </c>
      <c r="D20" s="81">
        <f t="shared" si="19"/>
        <v>0.46044165683995364</v>
      </c>
      <c r="E20" s="81">
        <f t="shared" si="19"/>
        <v>0.46044165683995364</v>
      </c>
      <c r="F20" s="81">
        <f t="shared" si="19"/>
        <v>0.46044165683995364</v>
      </c>
      <c r="G20" s="81">
        <f t="shared" si="19"/>
        <v>0.46044165683995364</v>
      </c>
      <c r="H20" s="134"/>
      <c r="I20" s="116"/>
      <c r="J20" s="90"/>
      <c r="L20" s="60">
        <f>L60 / L$29</f>
        <v>0.51085917060114872</v>
      </c>
      <c r="M20" s="60">
        <f t="shared" ref="M20:U20" si="21">M60 / M$29</f>
        <v>0.8516187141368039</v>
      </c>
      <c r="N20" s="60">
        <f t="shared" si="21"/>
        <v>0.4667585565888771</v>
      </c>
      <c r="O20" s="60">
        <f t="shared" si="21"/>
        <v>0.42578568813968637</v>
      </c>
      <c r="P20" s="60">
        <f t="shared" si="21"/>
        <v>0.39990178281725464</v>
      </c>
      <c r="Q20" s="60">
        <f t="shared" si="21"/>
        <v>0.5285376705767143</v>
      </c>
      <c r="R20" s="60">
        <f t="shared" si="21"/>
        <v>0.49466274752475248</v>
      </c>
      <c r="S20" s="60">
        <f t="shared" si="21"/>
        <v>0.44700349539243722</v>
      </c>
      <c r="T20" s="60">
        <f t="shared" si="21"/>
        <v>0.63800114669158248</v>
      </c>
      <c r="U20" s="60">
        <f t="shared" si="21"/>
        <v>0.5972754675016827</v>
      </c>
      <c r="V20"/>
      <c r="W20"/>
      <c r="X20"/>
    </row>
    <row r="21" spans="2:41" hidden="1" outlineLevel="2" x14ac:dyDescent="0.3">
      <c r="B21" s="30" t="s">
        <v>419</v>
      </c>
      <c r="D21" s="81">
        <f t="shared" si="19"/>
        <v>0.76423595360534868</v>
      </c>
      <c r="E21" s="81">
        <f t="shared" si="19"/>
        <v>0.76423595360534868</v>
      </c>
      <c r="F21" s="81">
        <f t="shared" si="19"/>
        <v>0.76423595360534868</v>
      </c>
      <c r="G21" s="81">
        <f t="shared" si="19"/>
        <v>0.76423595360534868</v>
      </c>
      <c r="H21" s="134"/>
      <c r="I21" s="116"/>
      <c r="J21" s="90"/>
      <c r="L21" s="60">
        <f t="shared" ref="L21:U21" si="22">L66 / L$29</f>
        <v>0.92639461101254017</v>
      </c>
      <c r="M21" s="60">
        <f t="shared" si="22"/>
        <v>1.8675376721686419</v>
      </c>
      <c r="N21" s="60">
        <f t="shared" si="22"/>
        <v>0.98631157020865345</v>
      </c>
      <c r="O21" s="60">
        <f t="shared" si="22"/>
        <v>0.85382944232899305</v>
      </c>
      <c r="P21" s="60">
        <f t="shared" si="22"/>
        <v>0.78634254996360697</v>
      </c>
      <c r="Q21" s="60">
        <f t="shared" si="22"/>
        <v>0.73506588891490854</v>
      </c>
      <c r="R21" s="60">
        <f t="shared" si="22"/>
        <v>0.66912418780940597</v>
      </c>
      <c r="S21" s="60">
        <f t="shared" si="22"/>
        <v>0.55474208240652478</v>
      </c>
      <c r="T21" s="60">
        <f t="shared" si="22"/>
        <v>0.7917055975537246</v>
      </c>
      <c r="U21" s="60">
        <f t="shared" si="22"/>
        <v>0.67076858544769935</v>
      </c>
      <c r="V21"/>
      <c r="W21"/>
      <c r="X21"/>
    </row>
    <row r="22" spans="2:41" hidden="1" outlineLevel="2" x14ac:dyDescent="0.3">
      <c r="B22" s="30" t="s">
        <v>419</v>
      </c>
      <c r="D22" s="155">
        <f t="shared" ref="D22:G23" si="23">$I22 + $H22 * D$10</f>
        <v>119751.6066513916</v>
      </c>
      <c r="E22" s="155">
        <f t="shared" si="23"/>
        <v>118411.44033094263</v>
      </c>
      <c r="F22" s="155">
        <f t="shared" si="23"/>
        <v>117100.09479157848</v>
      </c>
      <c r="G22" s="155">
        <f t="shared" si="23"/>
        <v>114491.81410339288</v>
      </c>
      <c r="H22" s="182">
        <f>SLOPE($L22:$U22, $L$10:$U$10)</f>
        <v>14.41039054246219</v>
      </c>
      <c r="I22" s="182">
        <f>INTERCEPT($L22:$U22, $L$10:$U$10)</f>
        <v>-521539.59326926083</v>
      </c>
      <c r="J22" s="183">
        <f>RSQ($L22:$U22, $L$10:$U$10)</f>
        <v>0.99733735792913036</v>
      </c>
      <c r="L22" s="147">
        <f>L73</f>
        <v>112949</v>
      </c>
      <c r="M22" s="147">
        <f t="shared" ref="M22:U22" si="24">M73</f>
        <v>111693</v>
      </c>
      <c r="N22" s="147">
        <f t="shared" si="24"/>
        <v>109543</v>
      </c>
      <c r="O22" s="147">
        <f t="shared" si="24"/>
        <v>108057</v>
      </c>
      <c r="P22" s="147">
        <f t="shared" si="24"/>
        <v>106511</v>
      </c>
      <c r="Q22" s="147">
        <f t="shared" si="24"/>
        <v>104300</v>
      </c>
      <c r="R22" s="147">
        <f t="shared" si="24"/>
        <v>102806</v>
      </c>
      <c r="S22" s="147">
        <f t="shared" si="24"/>
        <v>100749</v>
      </c>
      <c r="T22" s="147">
        <f t="shared" si="24"/>
        <v>98720</v>
      </c>
      <c r="U22" s="147">
        <f t="shared" si="24"/>
        <v>97306</v>
      </c>
      <c r="V22"/>
      <c r="W22"/>
      <c r="X22"/>
    </row>
    <row r="23" spans="2:41" hidden="1" outlineLevel="2" x14ac:dyDescent="0.3">
      <c r="B23" s="30" t="s">
        <v>419</v>
      </c>
      <c r="D23" s="155">
        <f t="shared" si="23"/>
        <v>1971.4212685386155</v>
      </c>
      <c r="E23" s="155">
        <f t="shared" si="23"/>
        <v>1858.966446602979</v>
      </c>
      <c r="F23" s="155">
        <f t="shared" si="23"/>
        <v>1748.9300079347668</v>
      </c>
      <c r="G23" s="155">
        <f t="shared" si="23"/>
        <v>1530.0663222320727</v>
      </c>
      <c r="H23" s="182">
        <f>SLOPE($L23:$U23, $L$10:$U$10)</f>
        <v>1.2091916337165505</v>
      </c>
      <c r="I23" s="182">
        <f>INTERCEPT($L23:$U23, $L$10:$U$10)</f>
        <v>-51840.024815115314</v>
      </c>
      <c r="J23" s="183">
        <f>RSQ($L23:$U23, $L$10:$U$10)</f>
        <v>0.77511004235412961</v>
      </c>
      <c r="L23" s="147">
        <f>L75</f>
        <v>1609</v>
      </c>
      <c r="M23" s="147">
        <f t="shared" ref="M23:U23" si="25">M75</f>
        <v>1125</v>
      </c>
      <c r="N23" s="147">
        <f t="shared" si="25"/>
        <v>1169</v>
      </c>
      <c r="O23" s="147">
        <f t="shared" si="25"/>
        <v>1194</v>
      </c>
      <c r="P23" s="147">
        <f t="shared" si="25"/>
        <v>335</v>
      </c>
      <c r="Q23" s="147">
        <f t="shared" si="25"/>
        <v>772</v>
      </c>
      <c r="R23" s="147">
        <f t="shared" si="25"/>
        <v>399</v>
      </c>
      <c r="S23" s="147">
        <f t="shared" si="25"/>
        <v>713</v>
      </c>
      <c r="T23" s="147">
        <f t="shared" si="25"/>
        <v>241</v>
      </c>
      <c r="U23" s="147">
        <f t="shared" si="25"/>
        <v>0</v>
      </c>
      <c r="V23"/>
      <c r="W23"/>
      <c r="X23"/>
    </row>
    <row r="24" spans="2:41" hidden="1" outlineLevel="1" x14ac:dyDescent="0.3">
      <c r="B24" s="30"/>
      <c r="D24" s="235"/>
      <c r="E24" s="235"/>
      <c r="F24" s="235"/>
      <c r="G24" s="235"/>
      <c r="H24" s="236"/>
      <c r="I24" s="236"/>
      <c r="J24" s="237"/>
      <c r="L24" s="238"/>
      <c r="M24" s="238"/>
      <c r="N24" s="238"/>
      <c r="O24" s="238"/>
      <c r="P24" s="238"/>
      <c r="Q24" s="238"/>
      <c r="R24" s="238"/>
      <c r="S24" s="238"/>
      <c r="T24" s="238"/>
      <c r="U24" s="238"/>
      <c r="V24"/>
      <c r="W24"/>
      <c r="X24"/>
    </row>
    <row r="25" spans="2:41" s="43" customFormat="1" ht="15.9" customHeight="1" collapsed="1" x14ac:dyDescent="0.3">
      <c r="B25" s="40" t="s">
        <v>193</v>
      </c>
      <c r="C25" s="41"/>
      <c r="D25" s="52" t="s">
        <v>194</v>
      </c>
      <c r="E25" s="42"/>
      <c r="F25" s="42"/>
      <c r="G25" s="42"/>
      <c r="H25" s="42"/>
      <c r="I25" s="42"/>
      <c r="J25" s="42"/>
      <c r="K25" s="41"/>
      <c r="L25" s="42" t="s">
        <v>195</v>
      </c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/>
      <c r="Z25"/>
    </row>
    <row r="26" spans="2:41" s="48" customFormat="1" ht="15.9" customHeight="1" x14ac:dyDescent="0.3">
      <c r="B26" s="44" t="s">
        <v>196</v>
      </c>
      <c r="C26" s="45"/>
      <c r="D26" s="46">
        <f>EDATE(G26, 12)</f>
        <v>44502</v>
      </c>
      <c r="E26" s="46">
        <f t="shared" ref="E26:F26" si="26">EDATE(L26, 12)</f>
        <v>44409</v>
      </c>
      <c r="F26" s="46">
        <f t="shared" si="26"/>
        <v>44318</v>
      </c>
      <c r="G26" s="46">
        <f>EDATE(N26, 12)</f>
        <v>44137</v>
      </c>
      <c r="H26" s="46"/>
      <c r="I26" s="46"/>
      <c r="J26" s="46"/>
      <c r="K26" s="45"/>
      <c r="L26" s="46">
        <v>44044</v>
      </c>
      <c r="M26" s="46">
        <v>43953</v>
      </c>
      <c r="N26" s="46">
        <v>43771</v>
      </c>
      <c r="O26" s="46">
        <v>43680</v>
      </c>
      <c r="P26" s="46">
        <v>43589</v>
      </c>
      <c r="Q26" s="46">
        <v>43407</v>
      </c>
      <c r="R26" s="46">
        <v>43316</v>
      </c>
      <c r="S26" s="46">
        <v>43225</v>
      </c>
      <c r="T26" s="46">
        <v>43036</v>
      </c>
      <c r="U26" s="46">
        <v>42945</v>
      </c>
      <c r="V26" s="46">
        <v>42854</v>
      </c>
      <c r="W26" s="46">
        <v>42672</v>
      </c>
      <c r="X26" s="46">
        <v>42490</v>
      </c>
      <c r="Y26"/>
      <c r="Z26"/>
    </row>
    <row r="27" spans="2:41" s="48" customFormat="1" ht="15.9" customHeight="1" x14ac:dyDescent="0.3">
      <c r="B27" s="65" t="s">
        <v>197</v>
      </c>
      <c r="C27" s="45"/>
      <c r="D27" s="66" t="str">
        <f>G27</f>
        <v>3rd Quarter</v>
      </c>
      <c r="E27" s="66" t="str">
        <f t="shared" ref="E27:F27" si="27">L27</f>
        <v>2nd Quarter</v>
      </c>
      <c r="F27" s="66" t="str">
        <f t="shared" si="27"/>
        <v>1st Quarter</v>
      </c>
      <c r="G27" s="66" t="str">
        <f>N27</f>
        <v>3rd Quarter</v>
      </c>
      <c r="H27" s="66"/>
      <c r="I27" s="66"/>
      <c r="J27" s="66"/>
      <c r="K27" s="45"/>
      <c r="L27" s="67" t="s">
        <v>198</v>
      </c>
      <c r="M27" s="67" t="s">
        <v>199</v>
      </c>
      <c r="N27" s="67" t="s">
        <v>200</v>
      </c>
      <c r="O27" s="67" t="s">
        <v>198</v>
      </c>
      <c r="P27" s="67" t="s">
        <v>199</v>
      </c>
      <c r="Q27" s="67" t="s">
        <v>200</v>
      </c>
      <c r="R27" s="67" t="s">
        <v>198</v>
      </c>
      <c r="S27" s="67" t="s">
        <v>199</v>
      </c>
      <c r="T27" s="67" t="s">
        <v>200</v>
      </c>
      <c r="U27" s="67" t="s">
        <v>198</v>
      </c>
      <c r="V27" s="67" t="s">
        <v>199</v>
      </c>
      <c r="W27" s="67" t="s">
        <v>200</v>
      </c>
      <c r="X27" s="67" t="s">
        <v>199</v>
      </c>
      <c r="Y27"/>
      <c r="Z27"/>
    </row>
    <row r="28" spans="2:41" s="64" customFormat="1" x14ac:dyDescent="0.3">
      <c r="B28" s="56" t="s">
        <v>201</v>
      </c>
      <c r="C28" s="3"/>
      <c r="D28" s="57"/>
      <c r="E28" s="57"/>
      <c r="F28" s="57"/>
      <c r="G28" s="57"/>
      <c r="H28" s="57"/>
      <c r="I28" s="57"/>
      <c r="J28" s="57"/>
      <c r="K28" s="3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/>
      <c r="Z28"/>
    </row>
    <row r="29" spans="2:41" x14ac:dyDescent="0.3">
      <c r="B29" s="89" t="s">
        <v>310</v>
      </c>
      <c r="D29" s="32">
        <f>G29 * (1 + D11)</f>
        <v>188271.00925892204</v>
      </c>
      <c r="E29" s="32">
        <f t="shared" ref="E29:G30" si="28">L29 * (1 +E11
)</f>
        <v>165787.53710319236</v>
      </c>
      <c r="F29" s="32">
        <f t="shared" si="28"/>
        <v>98529.238888387481</v>
      </c>
      <c r="G29" s="32">
        <f t="shared" si="28"/>
        <v>188813.22384897119</v>
      </c>
      <c r="L29" s="32">
        <v>166265</v>
      </c>
      <c r="M29" s="32">
        <v>98813</v>
      </c>
      <c r="N29" s="32">
        <v>189357</v>
      </c>
      <c r="O29" s="32">
        <v>210357</v>
      </c>
      <c r="P29" s="32">
        <v>228066</v>
      </c>
      <c r="Q29" s="32">
        <v>187892</v>
      </c>
      <c r="R29" s="32">
        <v>206848</v>
      </c>
      <c r="S29" s="32">
        <v>236025</v>
      </c>
      <c r="T29" s="32">
        <v>188368</v>
      </c>
      <c r="U29" s="32">
        <v>205026</v>
      </c>
      <c r="V29" s="32">
        <v>237655</v>
      </c>
      <c r="W29" s="32">
        <v>207022</v>
      </c>
      <c r="X29" s="32">
        <v>285497</v>
      </c>
    </row>
    <row r="30" spans="2:41" x14ac:dyDescent="0.3">
      <c r="B30" s="89" t="s">
        <v>420</v>
      </c>
      <c r="D30" s="32">
        <f>G30 * (1 + D12)</f>
        <v>2403.8133455457314</v>
      </c>
      <c r="E30" s="32">
        <f t="shared" si="28"/>
        <v>2006.85560086737</v>
      </c>
      <c r="F30" s="32">
        <f t="shared" si="28"/>
        <v>2021.6041459656078</v>
      </c>
      <c r="G30" s="32">
        <f t="shared" si="28"/>
        <v>2281.8106201988048</v>
      </c>
      <c r="L30" s="32">
        <v>1905</v>
      </c>
      <c r="M30" s="32">
        <v>1919</v>
      </c>
      <c r="N30" s="32">
        <v>2166</v>
      </c>
      <c r="O30" s="32">
        <v>2224</v>
      </c>
      <c r="P30" s="32">
        <v>2285</v>
      </c>
      <c r="Q30" s="32">
        <v>2120</v>
      </c>
      <c r="R30" s="32">
        <v>2069</v>
      </c>
      <c r="S30" s="32">
        <v>2275</v>
      </c>
      <c r="T30" s="32">
        <v>1905</v>
      </c>
      <c r="U30" s="32">
        <v>1935</v>
      </c>
      <c r="V30" s="32">
        <v>2086</v>
      </c>
      <c r="W30" s="32">
        <v>2240</v>
      </c>
      <c r="X30" s="32">
        <v>2476</v>
      </c>
    </row>
    <row r="31" spans="2:41" s="39" customFormat="1" x14ac:dyDescent="0.3">
      <c r="B31" s="76" t="s">
        <v>315</v>
      </c>
      <c r="C31" s="25"/>
      <c r="D31" s="77">
        <f t="shared" ref="D31:G31" si="29">SUM(D29:D30)</f>
        <v>190674.82260446777</v>
      </c>
      <c r="E31" s="77">
        <f t="shared" si="29"/>
        <v>167794.39270405972</v>
      </c>
      <c r="F31" s="77">
        <f t="shared" si="29"/>
        <v>100550.84303435309</v>
      </c>
      <c r="G31" s="77">
        <f t="shared" si="29"/>
        <v>191095.03446917</v>
      </c>
      <c r="H31" s="77"/>
      <c r="I31" s="77"/>
      <c r="J31" s="77"/>
      <c r="K31" s="25"/>
      <c r="L31" s="77">
        <f>SUM(L29:L30)</f>
        <v>168170</v>
      </c>
      <c r="M31" s="77">
        <f t="shared" ref="M31:X31" si="30">SUM(M29:M30)</f>
        <v>100732</v>
      </c>
      <c r="N31" s="77">
        <f t="shared" si="30"/>
        <v>191523</v>
      </c>
      <c r="O31" s="77">
        <f t="shared" si="30"/>
        <v>212581</v>
      </c>
      <c r="P31" s="77">
        <f t="shared" si="30"/>
        <v>230351</v>
      </c>
      <c r="Q31" s="77">
        <f t="shared" si="30"/>
        <v>190012</v>
      </c>
      <c r="R31" s="77">
        <f t="shared" si="30"/>
        <v>208917</v>
      </c>
      <c r="S31" s="77">
        <f t="shared" si="30"/>
        <v>238300</v>
      </c>
      <c r="T31" s="77">
        <f t="shared" si="30"/>
        <v>190273</v>
      </c>
      <c r="U31" s="77">
        <f t="shared" si="30"/>
        <v>206961</v>
      </c>
      <c r="V31" s="77">
        <f t="shared" si="30"/>
        <v>239741</v>
      </c>
      <c r="W31" s="77">
        <f t="shared" si="30"/>
        <v>209262</v>
      </c>
      <c r="X31" s="77">
        <f t="shared" si="30"/>
        <v>287973</v>
      </c>
      <c r="Y31"/>
      <c r="Z31"/>
    </row>
    <row r="32" spans="2:41" x14ac:dyDescent="0.3">
      <c r="B32" s="89" t="s">
        <v>421</v>
      </c>
      <c r="D32" s="32">
        <f>D29 * D13</f>
        <v>117556.92579076719</v>
      </c>
      <c r="E32" s="32">
        <f>E29 * E13</f>
        <v>103518.18515760388</v>
      </c>
      <c r="F32" s="32">
        <f>F29 * F13</f>
        <v>61521.922412884909</v>
      </c>
      <c r="G32" s="32">
        <f>G29 * G13</f>
        <v>117895.48604269327</v>
      </c>
      <c r="L32" s="32">
        <v>132736</v>
      </c>
      <c r="M32" s="32">
        <v>83597</v>
      </c>
      <c r="N32" s="32">
        <v>118624</v>
      </c>
      <c r="O32" s="32">
        <v>130372</v>
      </c>
      <c r="P32" s="32">
        <v>136083</v>
      </c>
      <c r="Q32" s="32">
        <v>123014</v>
      </c>
      <c r="R32" s="32">
        <v>129801</v>
      </c>
      <c r="S32" s="32">
        <v>142287</v>
      </c>
      <c r="T32" s="32">
        <v>124462</v>
      </c>
      <c r="U32" s="32">
        <v>141258</v>
      </c>
      <c r="V32" s="32">
        <v>145783</v>
      </c>
      <c r="W32" s="32">
        <v>133627</v>
      </c>
      <c r="X32" s="32">
        <v>163973</v>
      </c>
    </row>
    <row r="33" spans="2:24" x14ac:dyDescent="0.3">
      <c r="B33" s="89" t="s">
        <v>422</v>
      </c>
      <c r="D33" s="32">
        <f>ROUND(IF(NOT($G$8), $L33, AVERAGE($N33:$Q33)), -2)</f>
        <v>64600</v>
      </c>
      <c r="E33" s="32">
        <f t="shared" ref="E33:G33" si="31">ROUND(IF(NOT($G$8), $L33, AVERAGE($N33:$Q33)), -2)</f>
        <v>64600</v>
      </c>
      <c r="F33" s="32">
        <f t="shared" si="31"/>
        <v>64600</v>
      </c>
      <c r="G33" s="32">
        <f t="shared" si="31"/>
        <v>64600</v>
      </c>
      <c r="L33" s="32">
        <v>43957</v>
      </c>
      <c r="M33" s="32">
        <v>52511</v>
      </c>
      <c r="N33" s="32">
        <v>64681</v>
      </c>
      <c r="O33" s="32">
        <v>66066</v>
      </c>
      <c r="P33" s="32">
        <v>65990</v>
      </c>
      <c r="Q33" s="32">
        <v>61765</v>
      </c>
      <c r="R33" s="32">
        <v>68892</v>
      </c>
      <c r="S33" s="32">
        <v>65959</v>
      </c>
      <c r="T33" s="32">
        <v>62100</v>
      </c>
      <c r="U33" s="32">
        <v>64280</v>
      </c>
      <c r="V33" s="32">
        <v>63780</v>
      </c>
      <c r="W33" s="32">
        <v>67815</v>
      </c>
      <c r="X33" s="32">
        <v>71071</v>
      </c>
    </row>
    <row r="34" spans="2:24" x14ac:dyDescent="0.3">
      <c r="B34" s="89" t="s">
        <v>274</v>
      </c>
      <c r="D34" s="32">
        <f>D14 * D60</f>
        <v>3095.9094774508972</v>
      </c>
      <c r="E34" s="32">
        <f>E14 * E60</f>
        <v>2726.1935301740687</v>
      </c>
      <c r="F34" s="32">
        <f>F14 * F60</f>
        <v>1620.2048614987534</v>
      </c>
      <c r="G34" s="32">
        <f>G14 * G60</f>
        <v>3104.8255994537099</v>
      </c>
      <c r="L34" s="32">
        <v>3488</v>
      </c>
      <c r="M34" s="32">
        <v>4006</v>
      </c>
      <c r="N34" s="32">
        <v>3844</v>
      </c>
      <c r="O34" s="32">
        <v>3836</v>
      </c>
      <c r="P34" s="32">
        <v>3843</v>
      </c>
      <c r="Q34" s="32">
        <v>4094</v>
      </c>
      <c r="R34" s="32">
        <v>4152</v>
      </c>
      <c r="S34" s="32">
        <v>4224</v>
      </c>
      <c r="T34" s="32">
        <v>5047</v>
      </c>
      <c r="U34" s="32">
        <v>4882</v>
      </c>
      <c r="V34" s="32">
        <v>5060</v>
      </c>
      <c r="W34" s="32">
        <v>5734</v>
      </c>
      <c r="X34" s="32">
        <v>5676</v>
      </c>
    </row>
    <row r="35" spans="2:24" x14ac:dyDescent="0.3">
      <c r="B35" s="89" t="s">
        <v>423</v>
      </c>
      <c r="D35" s="181">
        <f>D15 * SUM(AVERAGE(D$50:E$50), AVERAGE(D$51:E$51))</f>
        <v>1460.8464479574468</v>
      </c>
      <c r="E35" s="181">
        <f>E15 * SUM(AVERAGE(E$50:F$50), AVERAGE(E$51:F$51))</f>
        <v>1460.8464479574468</v>
      </c>
      <c r="F35" s="181">
        <f>F15 * SUM(AVERAGE(F$50:G$50), AVERAGE(F$51:G$51))</f>
        <v>1460.8464479574468</v>
      </c>
      <c r="G35" s="59">
        <f>G15 * SUM(AVERAGE(G$50:L$50), AVERAGE(G$51:L$51))</f>
        <v>1185.7970683159253</v>
      </c>
      <c r="H35" s="59"/>
      <c r="I35" s="59"/>
      <c r="J35" s="59"/>
      <c r="L35" s="32">
        <v>961</v>
      </c>
      <c r="M35" s="32">
        <v>1851</v>
      </c>
      <c r="N35" s="32">
        <v>1662</v>
      </c>
      <c r="O35" s="32">
        <v>1693</v>
      </c>
      <c r="P35" s="32">
        <v>1136</v>
      </c>
      <c r="Q35" s="32">
        <v>1374</v>
      </c>
      <c r="R35" s="32">
        <v>1431</v>
      </c>
      <c r="S35" s="32">
        <v>754</v>
      </c>
      <c r="T35" s="32">
        <v>1200</v>
      </c>
      <c r="U35" s="32">
        <v>1329</v>
      </c>
      <c r="V35" s="32">
        <v>942</v>
      </c>
      <c r="W35" s="32">
        <v>1288</v>
      </c>
      <c r="X35" s="32">
        <v>2928</v>
      </c>
    </row>
    <row r="36" spans="2:24" x14ac:dyDescent="0.3">
      <c r="B36" s="76" t="s">
        <v>424</v>
      </c>
      <c r="C36" s="25"/>
      <c r="D36" s="77">
        <f t="shared" ref="D36:G36" si="32">SUM(D32:D34, -D35)</f>
        <v>183791.98882026062</v>
      </c>
      <c r="E36" s="77">
        <f t="shared" si="32"/>
        <v>169383.53223982049</v>
      </c>
      <c r="F36" s="77">
        <f t="shared" si="32"/>
        <v>126281.28082642623</v>
      </c>
      <c r="G36" s="77">
        <f t="shared" si="32"/>
        <v>184414.51457383102</v>
      </c>
      <c r="H36" s="77"/>
      <c r="I36" s="77"/>
      <c r="J36" s="77"/>
      <c r="K36" s="25"/>
      <c r="L36" s="77">
        <f>SUM(L32:L34, -L35)</f>
        <v>179220</v>
      </c>
      <c r="M36" s="77">
        <f t="shared" ref="M36:X36" si="33">SUM(M32:M34, -M35)</f>
        <v>138263</v>
      </c>
      <c r="N36" s="77">
        <f t="shared" si="33"/>
        <v>185487</v>
      </c>
      <c r="O36" s="77">
        <f t="shared" si="33"/>
        <v>198581</v>
      </c>
      <c r="P36" s="77">
        <f t="shared" si="33"/>
        <v>204780</v>
      </c>
      <c r="Q36" s="77">
        <f t="shared" si="33"/>
        <v>187499</v>
      </c>
      <c r="R36" s="77">
        <f t="shared" si="33"/>
        <v>201414</v>
      </c>
      <c r="S36" s="77">
        <f t="shared" si="33"/>
        <v>211716</v>
      </c>
      <c r="T36" s="77">
        <f t="shared" si="33"/>
        <v>190409</v>
      </c>
      <c r="U36" s="77">
        <f t="shared" si="33"/>
        <v>209091</v>
      </c>
      <c r="V36" s="77">
        <f t="shared" si="33"/>
        <v>213681</v>
      </c>
      <c r="W36" s="77">
        <f t="shared" si="33"/>
        <v>205888</v>
      </c>
      <c r="X36" s="77">
        <f t="shared" si="33"/>
        <v>237792</v>
      </c>
    </row>
    <row r="37" spans="2:24" x14ac:dyDescent="0.3">
      <c r="B37" s="76" t="s">
        <v>212</v>
      </c>
      <c r="C37" s="25"/>
      <c r="D37" s="153">
        <f t="shared" ref="D37:G37" si="34">D31 - D36</f>
        <v>6882.8337842071487</v>
      </c>
      <c r="E37" s="153">
        <f t="shared" si="34"/>
        <v>-1589.1395357607689</v>
      </c>
      <c r="F37" s="153">
        <f t="shared" si="34"/>
        <v>-25730.437792073135</v>
      </c>
      <c r="G37" s="153">
        <f t="shared" si="34"/>
        <v>6680.5198953389772</v>
      </c>
      <c r="H37" s="153"/>
      <c r="I37" s="153"/>
      <c r="J37" s="153"/>
      <c r="K37" s="25"/>
      <c r="L37" s="153">
        <f>L31 - L36</f>
        <v>-11050</v>
      </c>
      <c r="M37" s="153">
        <f t="shared" ref="M37:X37" si="35">M31 - M36</f>
        <v>-37531</v>
      </c>
      <c r="N37" s="153">
        <f t="shared" si="35"/>
        <v>6036</v>
      </c>
      <c r="O37" s="153">
        <f t="shared" si="35"/>
        <v>14000</v>
      </c>
      <c r="P37" s="153">
        <f t="shared" si="35"/>
        <v>25571</v>
      </c>
      <c r="Q37" s="153">
        <f t="shared" si="35"/>
        <v>2513</v>
      </c>
      <c r="R37" s="153">
        <f t="shared" si="35"/>
        <v>7503</v>
      </c>
      <c r="S37" s="153">
        <f t="shared" si="35"/>
        <v>26584</v>
      </c>
      <c r="T37" s="153">
        <f t="shared" si="35"/>
        <v>-136</v>
      </c>
      <c r="U37" s="153">
        <f t="shared" si="35"/>
        <v>-2130</v>
      </c>
      <c r="V37" s="153">
        <f t="shared" si="35"/>
        <v>26060</v>
      </c>
      <c r="W37" s="153">
        <f t="shared" si="35"/>
        <v>3374</v>
      </c>
      <c r="X37" s="153">
        <f t="shared" si="35"/>
        <v>50181</v>
      </c>
    </row>
    <row r="38" spans="2:24" x14ac:dyDescent="0.3">
      <c r="B38" s="89" t="s">
        <v>329</v>
      </c>
      <c r="D38" s="32">
        <f>D37 * D16</f>
        <v>1105.4296444774404</v>
      </c>
      <c r="E38" s="32">
        <f>E37 * E16</f>
        <v>-255.22655451477362</v>
      </c>
      <c r="F38" s="32">
        <f>F37 * F16</f>
        <v>-4132.4822874560732</v>
      </c>
      <c r="G38" s="32">
        <f>G37 * G16</f>
        <v>1072.9366659665329</v>
      </c>
      <c r="L38" s="32">
        <v>-3880</v>
      </c>
      <c r="M38" s="32">
        <v>-9114</v>
      </c>
      <c r="N38" s="32">
        <v>51</v>
      </c>
      <c r="O38" s="32">
        <v>2134</v>
      </c>
      <c r="P38" s="32">
        <v>4316</v>
      </c>
      <c r="Q38" s="32">
        <v>-1287</v>
      </c>
      <c r="R38" s="32">
        <v>1021</v>
      </c>
      <c r="S38" s="32">
        <v>3173</v>
      </c>
      <c r="T38" s="32">
        <v>-2830</v>
      </c>
      <c r="U38" s="32">
        <v>-1249</v>
      </c>
      <c r="V38" s="32">
        <v>3827</v>
      </c>
      <c r="W38" s="32">
        <v>-4886</v>
      </c>
      <c r="X38" s="32">
        <v>14307</v>
      </c>
    </row>
    <row r="39" spans="2:24" x14ac:dyDescent="0.3">
      <c r="B39" s="76" t="s">
        <v>214</v>
      </c>
      <c r="C39" s="25"/>
      <c r="D39" s="153">
        <f t="shared" ref="D39:G39" si="36">D37 - D38</f>
        <v>5777.4041397297078</v>
      </c>
      <c r="E39" s="153">
        <f t="shared" si="36"/>
        <v>-1333.9129812459953</v>
      </c>
      <c r="F39" s="153">
        <f t="shared" si="36"/>
        <v>-21597.955504617061</v>
      </c>
      <c r="G39" s="153">
        <f t="shared" si="36"/>
        <v>5607.5832293724443</v>
      </c>
      <c r="H39" s="153"/>
      <c r="I39" s="153"/>
      <c r="J39" s="153"/>
      <c r="K39" s="25"/>
      <c r="L39" s="153">
        <f>L37 - L38</f>
        <v>-7170</v>
      </c>
      <c r="M39" s="153">
        <f t="shared" ref="M39:X39" si="37">M37 - M38</f>
        <v>-28417</v>
      </c>
      <c r="N39" s="153">
        <f t="shared" si="37"/>
        <v>5985</v>
      </c>
      <c r="O39" s="153">
        <f t="shared" si="37"/>
        <v>11866</v>
      </c>
      <c r="P39" s="153">
        <f t="shared" si="37"/>
        <v>21255</v>
      </c>
      <c r="Q39" s="153">
        <f t="shared" si="37"/>
        <v>3800</v>
      </c>
      <c r="R39" s="153">
        <f t="shared" si="37"/>
        <v>6482</v>
      </c>
      <c r="S39" s="153">
        <f t="shared" si="37"/>
        <v>23411</v>
      </c>
      <c r="T39" s="153">
        <f t="shared" si="37"/>
        <v>2694</v>
      </c>
      <c r="U39" s="153">
        <f t="shared" si="37"/>
        <v>-881</v>
      </c>
      <c r="V39" s="153">
        <f t="shared" si="37"/>
        <v>22233</v>
      </c>
      <c r="W39" s="153">
        <f t="shared" si="37"/>
        <v>8260</v>
      </c>
      <c r="X39" s="153">
        <f t="shared" si="37"/>
        <v>35874</v>
      </c>
    </row>
    <row r="40" spans="2:24" x14ac:dyDescent="0.3">
      <c r="B40" s="89" t="s">
        <v>425</v>
      </c>
      <c r="D40" s="32">
        <f>D39 * D17</f>
        <v>230.13942925585405</v>
      </c>
      <c r="E40" s="32">
        <f>E39 * E17</f>
        <v>-53.135623673937801</v>
      </c>
      <c r="F40" s="32">
        <f>F39 * F17</f>
        <v>-860.34160545300631</v>
      </c>
      <c r="G40" s="32">
        <f>G39 * G17</f>
        <v>223.37471513163865</v>
      </c>
      <c r="L40" s="32">
        <v>-320</v>
      </c>
      <c r="M40" s="32">
        <v>-1135</v>
      </c>
      <c r="N40" s="32">
        <v>220</v>
      </c>
      <c r="O40" s="32">
        <v>451</v>
      </c>
      <c r="P40" s="32">
        <v>0</v>
      </c>
      <c r="Q40" s="32">
        <v>0</v>
      </c>
      <c r="R40" s="32">
        <v>192</v>
      </c>
      <c r="S40" s="32">
        <v>561</v>
      </c>
      <c r="T40" s="32">
        <v>0</v>
      </c>
      <c r="U40" s="32">
        <v>28</v>
      </c>
      <c r="V40" s="32">
        <v>464</v>
      </c>
      <c r="W40" s="32">
        <v>0</v>
      </c>
      <c r="X40" s="32">
        <v>0</v>
      </c>
    </row>
    <row r="41" spans="2:24" x14ac:dyDescent="0.3">
      <c r="B41" s="76" t="s">
        <v>426</v>
      </c>
      <c r="C41" s="25"/>
      <c r="D41" s="153">
        <f t="shared" ref="D41:G41" si="38">D39 - D40</f>
        <v>5547.2647104738535</v>
      </c>
      <c r="E41" s="153">
        <f t="shared" si="38"/>
        <v>-1280.7773575720576</v>
      </c>
      <c r="F41" s="153">
        <f t="shared" si="38"/>
        <v>-20737.613899164055</v>
      </c>
      <c r="G41" s="153">
        <f t="shared" si="38"/>
        <v>5384.2085142408059</v>
      </c>
      <c r="H41" s="153"/>
      <c r="I41" s="153"/>
      <c r="J41" s="153"/>
      <c r="K41" s="25"/>
      <c r="L41" s="153">
        <f>L39 - L40</f>
        <v>-6850</v>
      </c>
      <c r="M41" s="153">
        <f t="shared" ref="M41:V41" si="39">M39 - M40</f>
        <v>-27282</v>
      </c>
      <c r="N41" s="153">
        <f t="shared" si="39"/>
        <v>5765</v>
      </c>
      <c r="O41" s="153">
        <f t="shared" si="39"/>
        <v>11415</v>
      </c>
      <c r="P41" s="153">
        <v>0</v>
      </c>
      <c r="Q41" s="153">
        <v>0</v>
      </c>
      <c r="R41" s="153">
        <f t="shared" si="39"/>
        <v>6290</v>
      </c>
      <c r="S41" s="153">
        <f t="shared" si="39"/>
        <v>22850</v>
      </c>
      <c r="T41" s="153">
        <v>0</v>
      </c>
      <c r="U41" s="153">
        <f t="shared" si="39"/>
        <v>-909</v>
      </c>
      <c r="V41" s="153">
        <f t="shared" si="39"/>
        <v>21769</v>
      </c>
      <c r="W41" s="153">
        <v>0</v>
      </c>
      <c r="X41" s="153">
        <v>0</v>
      </c>
    </row>
    <row r="42" spans="2:24" hidden="1" outlineLevel="1" x14ac:dyDescent="0.3">
      <c r="B42" s="30" t="s">
        <v>427</v>
      </c>
      <c r="L42" s="32">
        <v>22908.941999999999</v>
      </c>
      <c r="M42" s="32">
        <v>22959.886999999999</v>
      </c>
      <c r="N42" s="32">
        <v>23749.047999999999</v>
      </c>
      <c r="O42" s="32">
        <v>23789.07</v>
      </c>
      <c r="P42" s="32">
        <v>23756.695</v>
      </c>
      <c r="Q42" s="32">
        <v>23820.476999999999</v>
      </c>
      <c r="R42" s="32">
        <v>24131.481</v>
      </c>
      <c r="S42" s="32">
        <v>24201.544999999998</v>
      </c>
      <c r="T42" s="32">
        <v>24537.973999999998</v>
      </c>
      <c r="U42" s="32">
        <v>25177.18</v>
      </c>
      <c r="V42" s="32">
        <v>25735.977999999999</v>
      </c>
      <c r="W42" s="32">
        <v>26738.809000000001</v>
      </c>
      <c r="X42" s="32">
        <v>27178.973999999998</v>
      </c>
    </row>
    <row r="43" spans="2:24" hidden="1" outlineLevel="1" x14ac:dyDescent="0.3">
      <c r="B43" s="30" t="s">
        <v>428</v>
      </c>
      <c r="L43" s="32">
        <v>22908.941999999999</v>
      </c>
      <c r="M43" s="32">
        <v>22959.886999999999</v>
      </c>
      <c r="N43" s="32">
        <v>23749.047999999999</v>
      </c>
      <c r="O43" s="32">
        <v>23789.07</v>
      </c>
      <c r="P43" s="32">
        <v>23756.695</v>
      </c>
      <c r="Q43" s="32">
        <v>23820.476999999999</v>
      </c>
      <c r="R43" s="32">
        <v>24131.481</v>
      </c>
      <c r="S43" s="32">
        <v>24201.544999999998</v>
      </c>
      <c r="T43" s="32">
        <v>24537.973999999998</v>
      </c>
      <c r="U43" s="32">
        <v>25177.18</v>
      </c>
      <c r="V43" s="32">
        <v>25735.977999999999</v>
      </c>
      <c r="W43" s="32">
        <v>26740.244999999999</v>
      </c>
      <c r="X43" s="32">
        <v>27180.850999999999</v>
      </c>
    </row>
    <row r="44" spans="2:24" hidden="1" outlineLevel="1" x14ac:dyDescent="0.3">
      <c r="B44" s="30" t="s">
        <v>220</v>
      </c>
      <c r="L44" s="32">
        <v>23957.884999999998</v>
      </c>
      <c r="M44" s="32">
        <v>24015.69</v>
      </c>
      <c r="N44" s="32">
        <v>24636.866999999998</v>
      </c>
      <c r="O44" s="32">
        <v>24766.280999999999</v>
      </c>
      <c r="P44" s="32">
        <v>24770.048999999999</v>
      </c>
      <c r="Q44" s="32">
        <v>24608.523000000001</v>
      </c>
      <c r="R44" s="32">
        <v>24672.71</v>
      </c>
      <c r="S44" s="32">
        <v>25109.844000000001</v>
      </c>
      <c r="T44" s="32">
        <v>25031.848999999998</v>
      </c>
      <c r="U44" s="32">
        <v>25438.932000000001</v>
      </c>
      <c r="V44" s="32">
        <v>25755.353999999999</v>
      </c>
      <c r="W44" s="32">
        <v>26843.732</v>
      </c>
      <c r="X44" s="32">
        <v>27655.702000000001</v>
      </c>
    </row>
    <row r="45" spans="2:24" hidden="1" outlineLevel="1" x14ac:dyDescent="0.3">
      <c r="B45" s="30" t="s">
        <v>429</v>
      </c>
      <c r="L45" s="32">
        <v>-0.3</v>
      </c>
      <c r="M45" s="32">
        <v>-1.19</v>
      </c>
      <c r="N45" s="32">
        <v>0.24</v>
      </c>
      <c r="O45" s="32">
        <v>0.48</v>
      </c>
      <c r="P45" s="32">
        <v>0.87</v>
      </c>
      <c r="Q45" s="32">
        <v>0.16</v>
      </c>
      <c r="R45" s="32">
        <v>0.26</v>
      </c>
      <c r="S45" s="32">
        <v>0.94</v>
      </c>
      <c r="T45" s="32">
        <v>0.11</v>
      </c>
      <c r="U45" s="32">
        <v>-0.03</v>
      </c>
      <c r="V45" s="32">
        <v>0.85</v>
      </c>
      <c r="W45" s="32">
        <v>0.3</v>
      </c>
      <c r="X45" s="32">
        <v>1.29</v>
      </c>
    </row>
    <row r="46" spans="2:24" hidden="1" outlineLevel="1" x14ac:dyDescent="0.3">
      <c r="B46" s="30" t="s">
        <v>430</v>
      </c>
      <c r="L46" s="32">
        <v>-0.3</v>
      </c>
      <c r="M46" s="32">
        <v>-1.19</v>
      </c>
      <c r="N46" s="32">
        <v>0.24</v>
      </c>
      <c r="O46" s="32">
        <v>0.48</v>
      </c>
      <c r="P46" s="32">
        <v>0.87</v>
      </c>
      <c r="Q46" s="32">
        <v>0.16</v>
      </c>
      <c r="R46" s="32">
        <v>0.26</v>
      </c>
      <c r="S46" s="32">
        <v>0.94</v>
      </c>
      <c r="T46" s="32">
        <v>0.11</v>
      </c>
      <c r="U46" s="32">
        <v>-0.03</v>
      </c>
      <c r="V46" s="32">
        <v>0.85</v>
      </c>
      <c r="W46" s="32">
        <v>0.3</v>
      </c>
      <c r="X46" s="32">
        <v>1.29</v>
      </c>
    </row>
    <row r="47" spans="2:24" hidden="1" outlineLevel="1" x14ac:dyDescent="0.3">
      <c r="B47" s="30" t="s">
        <v>431</v>
      </c>
      <c r="L47" s="32" t="s">
        <v>207</v>
      </c>
      <c r="M47" s="32">
        <v>0.33</v>
      </c>
      <c r="N47" s="32">
        <v>0.33</v>
      </c>
      <c r="O47" s="32">
        <v>0.33</v>
      </c>
      <c r="P47" s="32">
        <v>0.33</v>
      </c>
      <c r="Q47" s="32">
        <v>0.33</v>
      </c>
      <c r="R47" s="32">
        <v>0.33</v>
      </c>
      <c r="S47" s="32">
        <v>0.33</v>
      </c>
      <c r="T47" s="32">
        <v>0.33</v>
      </c>
      <c r="U47" s="32">
        <v>0.33</v>
      </c>
      <c r="V47" s="32">
        <v>0.33</v>
      </c>
      <c r="W47" s="32">
        <v>0.33</v>
      </c>
      <c r="X47" s="32">
        <v>0.3</v>
      </c>
    </row>
    <row r="48" spans="2:24" collapsed="1" x14ac:dyDescent="0.3"/>
    <row r="49" spans="2:26" s="64" customFormat="1" x14ac:dyDescent="0.3">
      <c r="B49" s="56" t="s">
        <v>223</v>
      </c>
      <c r="C49" s="3"/>
      <c r="D49" s="57"/>
      <c r="E49" s="57"/>
      <c r="F49" s="57"/>
      <c r="G49" s="57"/>
      <c r="H49" s="57"/>
      <c r="I49" s="57"/>
      <c r="J49" s="57"/>
      <c r="K49" s="3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/>
      <c r="Z49"/>
    </row>
    <row r="50" spans="2:26" s="58" customFormat="1" hidden="1" outlineLevel="1" x14ac:dyDescent="0.3">
      <c r="B50" s="178" t="s">
        <v>225</v>
      </c>
      <c r="C50" s="3"/>
      <c r="D50" s="155">
        <f t="shared" ref="D50:G51" si="40">IF($G$8, AVERAGE($N50:$Q50), AVERAGE($L50:$M50))</f>
        <v>27598.5</v>
      </c>
      <c r="E50" s="155">
        <f t="shared" si="40"/>
        <v>27598.5</v>
      </c>
      <c r="F50" s="155">
        <f t="shared" si="40"/>
        <v>27598.5</v>
      </c>
      <c r="G50" s="155">
        <f t="shared" si="40"/>
        <v>27598.5</v>
      </c>
      <c r="H50" s="59"/>
      <c r="I50" s="59"/>
      <c r="J50" s="59"/>
      <c r="K50" s="3"/>
      <c r="L50" s="59">
        <v>36565</v>
      </c>
      <c r="M50" s="59">
        <v>29809</v>
      </c>
      <c r="N50" s="59">
        <v>21222</v>
      </c>
      <c r="O50" s="59">
        <v>26011</v>
      </c>
      <c r="P50" s="59">
        <v>36493</v>
      </c>
      <c r="Q50" s="59">
        <v>26668</v>
      </c>
      <c r="R50" s="59">
        <v>37849</v>
      </c>
      <c r="S50" s="59">
        <v>71481</v>
      </c>
      <c r="T50" s="59">
        <v>78666</v>
      </c>
      <c r="U50" s="59">
        <v>77746</v>
      </c>
      <c r="V50" s="59">
        <v>52424</v>
      </c>
      <c r="W50" s="59">
        <v>32776</v>
      </c>
      <c r="X50" s="59">
        <v>55988</v>
      </c>
      <c r="Y50"/>
      <c r="Z50"/>
    </row>
    <row r="51" spans="2:26" s="58" customFormat="1" hidden="1" outlineLevel="1" x14ac:dyDescent="0.3">
      <c r="B51" s="178" t="s">
        <v>432</v>
      </c>
      <c r="C51" s="3"/>
      <c r="D51" s="155">
        <f t="shared" si="40"/>
        <v>192080</v>
      </c>
      <c r="E51" s="155">
        <f t="shared" si="40"/>
        <v>192080</v>
      </c>
      <c r="F51" s="155">
        <f t="shared" si="40"/>
        <v>192080</v>
      </c>
      <c r="G51" s="155">
        <f t="shared" si="40"/>
        <v>192080</v>
      </c>
      <c r="H51" s="59"/>
      <c r="I51" s="59"/>
      <c r="J51" s="59"/>
      <c r="K51" s="3"/>
      <c r="L51" s="59">
        <v>100391</v>
      </c>
      <c r="M51" s="59">
        <v>118020</v>
      </c>
      <c r="N51" s="59">
        <v>203309</v>
      </c>
      <c r="O51" s="59">
        <v>207366</v>
      </c>
      <c r="P51" s="59">
        <v>174404</v>
      </c>
      <c r="Q51" s="59">
        <v>183241</v>
      </c>
      <c r="R51" s="59">
        <v>187050</v>
      </c>
      <c r="S51" s="59">
        <v>147133</v>
      </c>
      <c r="T51" s="59">
        <v>136207</v>
      </c>
      <c r="U51" s="59">
        <v>159887</v>
      </c>
      <c r="V51" s="59">
        <v>178930</v>
      </c>
      <c r="W51" s="59">
        <v>210173</v>
      </c>
      <c r="X51" s="59">
        <v>242372</v>
      </c>
      <c r="Y51"/>
      <c r="Z51"/>
    </row>
    <row r="52" spans="2:26" s="58" customFormat="1" hidden="1" outlineLevel="1" x14ac:dyDescent="0.3">
      <c r="B52" s="178" t="s">
        <v>226</v>
      </c>
      <c r="C52" s="3"/>
      <c r="D52" s="59"/>
      <c r="E52" s="59"/>
      <c r="F52" s="59"/>
      <c r="G52" s="59"/>
      <c r="H52" s="59"/>
      <c r="I52" s="59"/>
      <c r="J52" s="59"/>
      <c r="K52" s="3"/>
      <c r="L52" s="59">
        <v>3001</v>
      </c>
      <c r="M52" s="59">
        <v>2585</v>
      </c>
      <c r="N52" s="59">
        <v>2149</v>
      </c>
      <c r="O52" s="59">
        <v>2137</v>
      </c>
      <c r="P52" s="59">
        <v>610</v>
      </c>
      <c r="Q52" s="59">
        <v>0</v>
      </c>
      <c r="R52" s="59">
        <v>3645</v>
      </c>
      <c r="S52" s="59">
        <v>3630</v>
      </c>
      <c r="T52" s="59">
        <v>0</v>
      </c>
      <c r="U52" s="59">
        <v>0</v>
      </c>
      <c r="V52" s="59">
        <v>0</v>
      </c>
      <c r="W52" s="59">
        <v>0</v>
      </c>
      <c r="X52" s="59">
        <v>0</v>
      </c>
      <c r="Y52"/>
      <c r="Z52"/>
    </row>
    <row r="53" spans="2:26" s="58" customFormat="1" hidden="1" outlineLevel="1" x14ac:dyDescent="0.3">
      <c r="B53" s="178" t="s">
        <v>433</v>
      </c>
      <c r="C53" s="3"/>
      <c r="D53" s="59"/>
      <c r="E53" s="59"/>
      <c r="F53" s="59"/>
      <c r="G53" s="59"/>
      <c r="H53" s="59"/>
      <c r="I53" s="59"/>
      <c r="J53" s="59"/>
      <c r="K53" s="3"/>
      <c r="L53" s="59">
        <v>0</v>
      </c>
      <c r="M53" s="59">
        <v>0</v>
      </c>
      <c r="N53" s="59">
        <v>0</v>
      </c>
      <c r="O53" s="59">
        <v>0</v>
      </c>
      <c r="P53" s="59">
        <v>0</v>
      </c>
      <c r="Q53" s="59">
        <v>3662</v>
      </c>
      <c r="R53" s="59">
        <v>0</v>
      </c>
      <c r="S53" s="59">
        <v>0</v>
      </c>
      <c r="T53" s="59">
        <v>3711</v>
      </c>
      <c r="U53" s="59">
        <v>3703</v>
      </c>
      <c r="V53" s="59">
        <v>3695</v>
      </c>
      <c r="W53" s="59">
        <v>4486</v>
      </c>
      <c r="X53" s="59">
        <v>4476</v>
      </c>
      <c r="Y53"/>
      <c r="Z53"/>
    </row>
    <row r="54" spans="2:26" s="58" customFormat="1" hidden="1" outlineLevel="1" x14ac:dyDescent="0.3">
      <c r="B54" s="178" t="s">
        <v>434</v>
      </c>
      <c r="C54" s="3"/>
      <c r="D54" s="59"/>
      <c r="E54" s="59"/>
      <c r="F54" s="59"/>
      <c r="G54" s="59"/>
      <c r="H54" s="59"/>
      <c r="I54" s="59"/>
      <c r="J54" s="59"/>
      <c r="K54" s="3"/>
      <c r="L54" s="59">
        <v>916</v>
      </c>
      <c r="M54" s="59">
        <v>1330</v>
      </c>
      <c r="N54" s="59">
        <v>1731</v>
      </c>
      <c r="O54" s="59">
        <v>1718</v>
      </c>
      <c r="P54" s="59">
        <v>3218</v>
      </c>
      <c r="Q54" s="59">
        <v>106</v>
      </c>
      <c r="R54" s="59">
        <v>105</v>
      </c>
      <c r="S54" s="59">
        <v>104</v>
      </c>
      <c r="T54" s="59">
        <v>0</v>
      </c>
      <c r="U54" s="59">
        <v>0</v>
      </c>
      <c r="V54" s="59">
        <v>0</v>
      </c>
      <c r="W54" s="59">
        <v>0</v>
      </c>
      <c r="X54" s="59">
        <v>0</v>
      </c>
      <c r="Y54"/>
      <c r="Z54"/>
    </row>
    <row r="55" spans="2:26" s="58" customFormat="1" hidden="1" outlineLevel="1" x14ac:dyDescent="0.3">
      <c r="B55" s="178" t="s">
        <v>336</v>
      </c>
      <c r="C55" s="3"/>
      <c r="D55" s="59"/>
      <c r="E55" s="59"/>
      <c r="F55" s="59"/>
      <c r="G55" s="59"/>
      <c r="H55" s="59"/>
      <c r="I55" s="59"/>
      <c r="J55" s="59"/>
      <c r="K55" s="3"/>
      <c r="L55" s="59">
        <v>39037</v>
      </c>
      <c r="M55" s="59">
        <v>30462</v>
      </c>
      <c r="N55" s="59">
        <v>27479</v>
      </c>
      <c r="O55" s="59">
        <v>27479</v>
      </c>
      <c r="P55" s="59">
        <v>29886</v>
      </c>
      <c r="Q55" s="59">
        <v>37016</v>
      </c>
      <c r="R55" s="59">
        <v>34745</v>
      </c>
      <c r="S55" s="59">
        <v>37065</v>
      </c>
      <c r="T55" s="59">
        <v>30507</v>
      </c>
      <c r="U55" s="59">
        <v>29555</v>
      </c>
      <c r="V55" s="59">
        <v>32298</v>
      </c>
      <c r="W55" s="59">
        <v>33107</v>
      </c>
      <c r="X55" s="59">
        <v>37421</v>
      </c>
      <c r="Y55"/>
      <c r="Z55"/>
    </row>
    <row r="56" spans="2:26" s="58" customFormat="1" hidden="1" outlineLevel="1" x14ac:dyDescent="0.3">
      <c r="B56" s="178" t="s">
        <v>435</v>
      </c>
      <c r="C56" s="3"/>
      <c r="D56" s="59"/>
      <c r="E56" s="59"/>
      <c r="F56" s="59"/>
      <c r="G56" s="59"/>
      <c r="H56" s="59"/>
      <c r="I56" s="59"/>
      <c r="J56" s="59"/>
      <c r="K56" s="3"/>
      <c r="L56" s="59">
        <v>88280</v>
      </c>
      <c r="M56" s="59">
        <v>122767</v>
      </c>
      <c r="N56" s="59">
        <v>114049</v>
      </c>
      <c r="O56" s="59">
        <v>99952</v>
      </c>
      <c r="P56" s="59">
        <v>111215</v>
      </c>
      <c r="Q56" s="59">
        <v>113046</v>
      </c>
      <c r="R56" s="59">
        <v>104470</v>
      </c>
      <c r="S56" s="59">
        <v>107892</v>
      </c>
      <c r="T56" s="59">
        <v>127763</v>
      </c>
      <c r="U56" s="59">
        <v>106197</v>
      </c>
      <c r="V56" s="59">
        <v>131784</v>
      </c>
      <c r="W56" s="59">
        <v>153346</v>
      </c>
      <c r="X56" s="59">
        <v>134166</v>
      </c>
      <c r="Y56"/>
      <c r="Z56"/>
    </row>
    <row r="57" spans="2:26" s="58" customFormat="1" hidden="1" outlineLevel="1" x14ac:dyDescent="0.3">
      <c r="B57" s="178" t="s">
        <v>349</v>
      </c>
      <c r="C57" s="3"/>
      <c r="D57" s="59"/>
      <c r="E57" s="59"/>
      <c r="F57" s="59"/>
      <c r="G57" s="59"/>
      <c r="H57" s="59"/>
      <c r="I57" s="59"/>
      <c r="J57" s="59"/>
      <c r="K57" s="3"/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59">
        <v>0</v>
      </c>
      <c r="R57" s="59">
        <v>0</v>
      </c>
      <c r="S57" s="59">
        <v>0</v>
      </c>
      <c r="T57" s="59">
        <v>0</v>
      </c>
      <c r="U57" s="59">
        <v>0</v>
      </c>
      <c r="V57" s="59">
        <v>0</v>
      </c>
      <c r="W57" s="59">
        <v>8963</v>
      </c>
      <c r="X57" s="59">
        <v>0</v>
      </c>
      <c r="Y57"/>
      <c r="Z57"/>
    </row>
    <row r="58" spans="2:26" s="58" customFormat="1" hidden="1" outlineLevel="1" x14ac:dyDescent="0.3">
      <c r="B58" s="178" t="s">
        <v>436</v>
      </c>
      <c r="C58" s="3"/>
      <c r="D58" s="59"/>
      <c r="E58" s="59"/>
      <c r="F58" s="59"/>
      <c r="G58" s="59"/>
      <c r="H58" s="59"/>
      <c r="I58" s="59"/>
      <c r="J58" s="59"/>
      <c r="K58" s="3"/>
      <c r="L58" s="59">
        <v>12460</v>
      </c>
      <c r="M58" s="59">
        <v>6131</v>
      </c>
      <c r="N58" s="59">
        <v>4301</v>
      </c>
      <c r="O58" s="59">
        <v>4651</v>
      </c>
      <c r="P58" s="59">
        <v>4377</v>
      </c>
      <c r="Q58" s="59">
        <v>11195</v>
      </c>
      <c r="R58" s="59">
        <v>10521</v>
      </c>
      <c r="S58" s="59">
        <v>11550</v>
      </c>
      <c r="T58" s="59">
        <v>16563</v>
      </c>
      <c r="U58" s="59">
        <v>14451</v>
      </c>
      <c r="V58" s="59">
        <v>14571</v>
      </c>
      <c r="W58" s="59">
        <v>0</v>
      </c>
      <c r="X58" s="59">
        <v>6704</v>
      </c>
      <c r="Y58"/>
      <c r="Z58"/>
    </row>
    <row r="59" spans="2:26" s="58" customFormat="1" collapsed="1" x14ac:dyDescent="0.3">
      <c r="B59" s="170" t="s">
        <v>437</v>
      </c>
      <c r="C59" s="3"/>
      <c r="D59" s="59">
        <f t="shared" ref="D59:G60" si="41">D19 * D$29</f>
        <v>337046.54744931246</v>
      </c>
      <c r="E59" s="59">
        <f t="shared" si="41"/>
        <v>296796.18338853592</v>
      </c>
      <c r="F59" s="59">
        <f t="shared" si="41"/>
        <v>176389.02516567765</v>
      </c>
      <c r="G59" s="59">
        <f t="shared" si="41"/>
        <v>338017.2309139205</v>
      </c>
      <c r="H59" s="59"/>
      <c r="I59" s="59"/>
      <c r="J59" s="59"/>
      <c r="K59" s="3"/>
      <c r="L59" s="59">
        <f t="shared" ref="L59:X59" si="42">SUM(L50:L54,L55:L58)</f>
        <v>280650</v>
      </c>
      <c r="M59" s="59">
        <f t="shared" si="42"/>
        <v>311104</v>
      </c>
      <c r="N59" s="59">
        <f t="shared" si="42"/>
        <v>374240</v>
      </c>
      <c r="O59" s="59">
        <f t="shared" si="42"/>
        <v>369314</v>
      </c>
      <c r="P59" s="59">
        <f t="shared" si="42"/>
        <v>360203</v>
      </c>
      <c r="Q59" s="59">
        <f t="shared" si="42"/>
        <v>374934</v>
      </c>
      <c r="R59" s="59">
        <f t="shared" si="42"/>
        <v>378385</v>
      </c>
      <c r="S59" s="59">
        <f t="shared" si="42"/>
        <v>378855</v>
      </c>
      <c r="T59" s="59">
        <f t="shared" si="42"/>
        <v>393417</v>
      </c>
      <c r="U59" s="59">
        <f t="shared" si="42"/>
        <v>391539</v>
      </c>
      <c r="V59" s="59">
        <f t="shared" si="42"/>
        <v>413702</v>
      </c>
      <c r="W59" s="59">
        <f t="shared" si="42"/>
        <v>442851</v>
      </c>
      <c r="X59" s="59">
        <f t="shared" si="42"/>
        <v>481127</v>
      </c>
      <c r="Y59"/>
      <c r="Z59"/>
    </row>
    <row r="60" spans="2:26" s="172" customFormat="1" x14ac:dyDescent="0.3">
      <c r="B60" s="171" t="s">
        <v>438</v>
      </c>
      <c r="C60" s="85"/>
      <c r="D60" s="59">
        <f t="shared" si="41"/>
        <v>86687.815438108315</v>
      </c>
      <c r="E60" s="59">
        <f t="shared" si="41"/>
        <v>76335.488267209177</v>
      </c>
      <c r="F60" s="59">
        <f t="shared" si="41"/>
        <v>45366.966000948727</v>
      </c>
      <c r="G60" s="59">
        <f t="shared" si="41"/>
        <v>86937.473622313337</v>
      </c>
      <c r="H60" s="59"/>
      <c r="I60" s="59"/>
      <c r="J60" s="59"/>
      <c r="K60" s="85"/>
      <c r="L60" s="59">
        <v>84938</v>
      </c>
      <c r="M60" s="59">
        <v>84151</v>
      </c>
      <c r="N60" s="59">
        <v>88384</v>
      </c>
      <c r="O60" s="59">
        <v>89567</v>
      </c>
      <c r="P60" s="59">
        <v>91204</v>
      </c>
      <c r="Q60" s="59">
        <v>99308</v>
      </c>
      <c r="R60" s="59">
        <v>102320</v>
      </c>
      <c r="S60" s="59">
        <v>105504</v>
      </c>
      <c r="T60" s="59">
        <v>120179</v>
      </c>
      <c r="U60" s="59">
        <v>122457</v>
      </c>
      <c r="V60" s="59">
        <v>124650</v>
      </c>
      <c r="W60" s="59">
        <v>142008</v>
      </c>
      <c r="X60" s="59">
        <v>135289</v>
      </c>
      <c r="Y60"/>
      <c r="Z60"/>
    </row>
    <row r="61" spans="2:26" x14ac:dyDescent="0.3">
      <c r="B61" s="89" t="s">
        <v>439</v>
      </c>
      <c r="D61" s="32">
        <f>ROUND(IF(NOT($G$8), $L61, AVERAGE($N61:$Q61)), -2)</f>
        <v>11000</v>
      </c>
      <c r="E61" s="32">
        <f t="shared" ref="E61:G61" si="43">ROUND(IF(NOT($G$8), $L61, AVERAGE($N61:$Q61)), -2)</f>
        <v>11000</v>
      </c>
      <c r="F61" s="32">
        <f t="shared" si="43"/>
        <v>11000</v>
      </c>
      <c r="G61" s="32">
        <f t="shared" si="43"/>
        <v>11000</v>
      </c>
      <c r="L61" s="32">
        <v>5911</v>
      </c>
      <c r="M61" s="32">
        <v>8413</v>
      </c>
      <c r="N61" s="32">
        <v>10829</v>
      </c>
      <c r="O61" s="32">
        <v>10821</v>
      </c>
      <c r="P61" s="32">
        <v>11083</v>
      </c>
      <c r="Q61" s="32">
        <v>11155</v>
      </c>
      <c r="R61" s="32">
        <v>12594</v>
      </c>
      <c r="S61" s="32">
        <v>12692</v>
      </c>
      <c r="T61" s="32">
        <v>12487</v>
      </c>
      <c r="U61" s="32">
        <v>12386</v>
      </c>
      <c r="V61" s="32">
        <v>12500</v>
      </c>
      <c r="W61" s="32">
        <v>10442</v>
      </c>
      <c r="X61" s="32">
        <v>10187</v>
      </c>
    </row>
    <row r="62" spans="2:26" x14ac:dyDescent="0.3">
      <c r="B62" s="89" t="s">
        <v>243</v>
      </c>
      <c r="D62" s="32">
        <f t="shared" ref="D62:G62" si="44">ROUND(AVERAGE($L62:$O62), -2)</f>
        <v>23000</v>
      </c>
      <c r="E62" s="32">
        <f t="shared" si="44"/>
        <v>23000</v>
      </c>
      <c r="F62" s="32">
        <f t="shared" si="44"/>
        <v>23000</v>
      </c>
      <c r="G62" s="32">
        <f t="shared" si="44"/>
        <v>23000</v>
      </c>
      <c r="L62" s="32">
        <v>23142</v>
      </c>
      <c r="M62" s="32">
        <v>22759</v>
      </c>
      <c r="N62" s="32">
        <v>23475</v>
      </c>
      <c r="O62" s="32">
        <v>22676</v>
      </c>
      <c r="P62" s="32">
        <v>22696</v>
      </c>
      <c r="Q62" s="32">
        <v>21496</v>
      </c>
      <c r="R62" s="32">
        <v>21832</v>
      </c>
      <c r="S62" s="32">
        <v>21423</v>
      </c>
      <c r="T62" s="32">
        <v>22268</v>
      </c>
      <c r="U62" s="32">
        <v>22657</v>
      </c>
      <c r="V62" s="32">
        <v>22718</v>
      </c>
      <c r="W62" s="32">
        <v>22280</v>
      </c>
      <c r="X62" s="32">
        <v>22201</v>
      </c>
    </row>
    <row r="63" spans="2:26" x14ac:dyDescent="0.3">
      <c r="B63" s="89" t="s">
        <v>440</v>
      </c>
      <c r="D63" s="32">
        <f>ROUND(IF(NOT($G$8), AVERAGE($L63:$M63), AVERAGE($N63:$P63)), -2)</f>
        <v>166300</v>
      </c>
      <c r="E63" s="32">
        <f>ROUND(IF($G$8, AVERAGE($L63:$M63), AVERAGE($N63:$P63)), -2)</f>
        <v>208200</v>
      </c>
      <c r="F63" s="32">
        <f>ROUND(IF($G$8, AVERAGE($L63:$M63), AVERAGE($N63:$P63)), -2)</f>
        <v>208200</v>
      </c>
      <c r="G63" s="32">
        <f>ROUND(IF($G$8, AVERAGE($L63:$M63), AVERAGE($N63:$P63)), -2)</f>
        <v>208200</v>
      </c>
      <c r="L63" s="32">
        <v>201776</v>
      </c>
      <c r="M63" s="32">
        <v>214527</v>
      </c>
      <c r="N63" s="32">
        <v>154235</v>
      </c>
      <c r="O63" s="32">
        <v>164988</v>
      </c>
      <c r="P63" s="32">
        <v>179811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</row>
    <row r="64" spans="2:26" s="39" customFormat="1" x14ac:dyDescent="0.3">
      <c r="B64" s="76" t="s">
        <v>244</v>
      </c>
      <c r="C64" s="25"/>
      <c r="D64" s="77" cm="1">
        <f t="array" ref="D64">SUM(D59:D63) + SUM(-D59:D63, D69, D77)</f>
        <v>520279.16291660391</v>
      </c>
      <c r="E64" s="77" cm="1">
        <f t="array" ref="E64">SUM(E59:E63) + SUM(-E59:E63, E69, E77)</f>
        <v>561999.05410238763</v>
      </c>
      <c r="F64" s="77" cm="1">
        <f t="array" ref="F64">SUM(F59:F63) + SUM(-F59:F63, F69, F77)</f>
        <v>510457.27624653128</v>
      </c>
      <c r="G64" s="77" cm="1">
        <f t="array" ref="G64">SUM(G59:G63) + SUM(-G59:G63, G69, G77)</f>
        <v>597364.87679915235</v>
      </c>
      <c r="H64" s="77"/>
      <c r="I64" s="77"/>
      <c r="J64" s="77"/>
      <c r="K64" s="25"/>
      <c r="L64" s="77">
        <f>SUM(L59:L63)</f>
        <v>596417</v>
      </c>
      <c r="M64" s="77">
        <f t="shared" ref="M64:X64" si="45">SUM(M59:M63)</f>
        <v>640954</v>
      </c>
      <c r="N64" s="77">
        <f t="shared" si="45"/>
        <v>651163</v>
      </c>
      <c r="O64" s="77">
        <f t="shared" si="45"/>
        <v>657366</v>
      </c>
      <c r="P64" s="77">
        <f t="shared" si="45"/>
        <v>664997</v>
      </c>
      <c r="Q64" s="77">
        <f t="shared" si="45"/>
        <v>506893</v>
      </c>
      <c r="R64" s="77">
        <f t="shared" si="45"/>
        <v>515131</v>
      </c>
      <c r="S64" s="77">
        <f t="shared" si="45"/>
        <v>518474</v>
      </c>
      <c r="T64" s="77">
        <f t="shared" si="45"/>
        <v>548351</v>
      </c>
      <c r="U64" s="77">
        <f t="shared" si="45"/>
        <v>549039</v>
      </c>
      <c r="V64" s="77">
        <f t="shared" si="45"/>
        <v>573570</v>
      </c>
      <c r="W64" s="77">
        <f t="shared" si="45"/>
        <v>617581</v>
      </c>
      <c r="X64" s="77">
        <f t="shared" si="45"/>
        <v>648804</v>
      </c>
      <c r="Y64"/>
      <c r="Z64"/>
    </row>
    <row r="65" spans="2:26" s="173" customFormat="1" ht="6.9" customHeight="1" x14ac:dyDescent="0.3">
      <c r="B65" s="78"/>
      <c r="C65" s="72"/>
      <c r="D65" s="79"/>
      <c r="E65" s="79"/>
      <c r="F65" s="79"/>
      <c r="G65" s="79"/>
      <c r="H65" s="79"/>
      <c r="I65" s="79"/>
      <c r="J65" s="79"/>
      <c r="K65" s="72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/>
      <c r="Z65"/>
    </row>
    <row r="66" spans="2:26" s="172" customFormat="1" x14ac:dyDescent="0.3">
      <c r="B66" s="171" t="s">
        <v>441</v>
      </c>
      <c r="C66" s="85"/>
      <c r="D66" s="59">
        <f>D21 * D$29</f>
        <v>143883.47429723371</v>
      </c>
      <c r="E66" s="59">
        <f>E21 * E$29</f>
        <v>126700.79651394034</v>
      </c>
      <c r="F66" s="59">
        <f>F21 * F$29</f>
        <v>75299.586839876007</v>
      </c>
      <c r="G66" s="59">
        <f>G21 * G$29</f>
        <v>144297.85418151866</v>
      </c>
      <c r="H66" s="59"/>
      <c r="I66" s="59"/>
      <c r="J66" s="59"/>
      <c r="K66" s="85"/>
      <c r="L66" s="59">
        <v>154027</v>
      </c>
      <c r="M66" s="59">
        <v>184537</v>
      </c>
      <c r="N66" s="59">
        <v>186765</v>
      </c>
      <c r="O66" s="59">
        <v>179609</v>
      </c>
      <c r="P66" s="59">
        <v>179338</v>
      </c>
      <c r="Q66" s="59">
        <v>138113</v>
      </c>
      <c r="R66" s="59">
        <v>138407</v>
      </c>
      <c r="S66" s="59">
        <v>130933</v>
      </c>
      <c r="T66" s="59">
        <v>149132</v>
      </c>
      <c r="U66" s="59">
        <v>137525</v>
      </c>
      <c r="V66" s="59">
        <v>144094</v>
      </c>
      <c r="W66" s="59">
        <v>153959</v>
      </c>
      <c r="X66" s="59">
        <v>163257</v>
      </c>
      <c r="Y66"/>
      <c r="Z66"/>
    </row>
    <row r="67" spans="2:26" x14ac:dyDescent="0.3">
      <c r="B67" s="89" t="s">
        <v>442</v>
      </c>
      <c r="D67" s="32">
        <f t="shared" ref="D67:G67" si="46">ROUND(AVERAGE($L67:$O67), -2)</f>
        <v>22700</v>
      </c>
      <c r="E67" s="32">
        <f t="shared" si="46"/>
        <v>22700</v>
      </c>
      <c r="F67" s="32">
        <f t="shared" si="46"/>
        <v>22700</v>
      </c>
      <c r="G67" s="32">
        <f t="shared" si="46"/>
        <v>22700</v>
      </c>
      <c r="L67" s="32">
        <v>23663</v>
      </c>
      <c r="M67" s="32">
        <v>22754</v>
      </c>
      <c r="N67" s="32">
        <v>21741</v>
      </c>
      <c r="O67" s="32">
        <v>22822</v>
      </c>
      <c r="P67" s="32">
        <v>22702</v>
      </c>
      <c r="Q67" s="32">
        <v>42580</v>
      </c>
      <c r="R67" s="32">
        <v>45408</v>
      </c>
      <c r="S67" s="32">
        <v>46295</v>
      </c>
      <c r="T67" s="32">
        <v>46793</v>
      </c>
      <c r="U67" s="32">
        <v>48910</v>
      </c>
      <c r="V67" s="32">
        <v>49675</v>
      </c>
      <c r="W67" s="32">
        <v>51900</v>
      </c>
      <c r="X67" s="32">
        <v>51377</v>
      </c>
    </row>
    <row r="68" spans="2:26" x14ac:dyDescent="0.3">
      <c r="B68" s="89" t="s">
        <v>443</v>
      </c>
      <c r="D68" s="32">
        <f>ROUND(IF(NOT($G$8), AVERAGE($L68:$M68), AVERAGE($N68:$Q68)), -2)</f>
        <v>91400</v>
      </c>
      <c r="E68" s="32">
        <f>ROUND(IF($G$8, AVERAGE($L68:$M68), AVERAGE($N68:$Q68)), -2)</f>
        <v>157300</v>
      </c>
      <c r="F68" s="32">
        <f>ROUND(IF($G$8, AVERAGE($L68:$M68), AVERAGE($N68:$Q68)), -2)</f>
        <v>157300</v>
      </c>
      <c r="G68" s="32">
        <f>ROUND(IF($G$8, AVERAGE($L68:$M68), AVERAGE($N68:$Q68)), -2)</f>
        <v>157300</v>
      </c>
      <c r="L68" s="34">
        <v>152508</v>
      </c>
      <c r="M68" s="34">
        <v>162011</v>
      </c>
      <c r="N68" s="34">
        <v>110948</v>
      </c>
      <c r="O68" s="34">
        <v>120317</v>
      </c>
      <c r="P68" s="34">
        <v>134453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2">
        <v>0</v>
      </c>
      <c r="X68" s="32">
        <v>0</v>
      </c>
    </row>
    <row r="69" spans="2:26" s="39" customFormat="1" x14ac:dyDescent="0.3">
      <c r="B69" s="76" t="s">
        <v>259</v>
      </c>
      <c r="C69" s="25"/>
      <c r="D69" s="77">
        <f t="shared" ref="D69:G69" si="47">SUM(D66:D68)</f>
        <v>257983.47429723371</v>
      </c>
      <c r="E69" s="77">
        <f t="shared" si="47"/>
        <v>306700.79651394032</v>
      </c>
      <c r="F69" s="77">
        <f t="shared" si="47"/>
        <v>255299.58683987602</v>
      </c>
      <c r="G69" s="77">
        <f t="shared" si="47"/>
        <v>324297.85418151866</v>
      </c>
      <c r="H69" s="77"/>
      <c r="I69" s="77"/>
      <c r="J69" s="77"/>
      <c r="K69" s="25"/>
      <c r="L69" s="77">
        <f>SUM(L66:L68)</f>
        <v>330198</v>
      </c>
      <c r="M69" s="77">
        <f t="shared" ref="M69:X69" si="48">SUM(M66:M68)</f>
        <v>369302</v>
      </c>
      <c r="N69" s="77">
        <f t="shared" si="48"/>
        <v>319454</v>
      </c>
      <c r="O69" s="77">
        <f t="shared" si="48"/>
        <v>322748</v>
      </c>
      <c r="P69" s="77">
        <f t="shared" si="48"/>
        <v>336493</v>
      </c>
      <c r="Q69" s="77">
        <f t="shared" si="48"/>
        <v>180693</v>
      </c>
      <c r="R69" s="77">
        <f t="shared" si="48"/>
        <v>183815</v>
      </c>
      <c r="S69" s="77">
        <f t="shared" si="48"/>
        <v>177228</v>
      </c>
      <c r="T69" s="77">
        <f t="shared" si="48"/>
        <v>195925</v>
      </c>
      <c r="U69" s="77">
        <f t="shared" si="48"/>
        <v>186435</v>
      </c>
      <c r="V69" s="77">
        <f t="shared" si="48"/>
        <v>193769</v>
      </c>
      <c r="W69" s="77">
        <f t="shared" si="48"/>
        <v>205859</v>
      </c>
      <c r="X69" s="77">
        <f t="shared" si="48"/>
        <v>214634</v>
      </c>
      <c r="Y69"/>
      <c r="Z69"/>
    </row>
    <row r="70" spans="2:26" ht="6.9" customHeight="1" x14ac:dyDescent="0.3">
      <c r="B70" s="89"/>
      <c r="Q70" s="34"/>
      <c r="R70" s="34"/>
      <c r="S70" s="34"/>
      <c r="T70" s="34"/>
      <c r="U70" s="34"/>
      <c r="V70" s="34"/>
      <c r="W70" s="34"/>
      <c r="X70" s="34"/>
    </row>
    <row r="71" spans="2:26" x14ac:dyDescent="0.3">
      <c r="B71" s="89" t="s">
        <v>444</v>
      </c>
      <c r="D71" s="32">
        <f t="shared" ref="D71:G72" si="49">$L71</f>
        <v>748</v>
      </c>
      <c r="E71" s="32">
        <f t="shared" si="49"/>
        <v>748</v>
      </c>
      <c r="F71" s="32">
        <f t="shared" si="49"/>
        <v>748</v>
      </c>
      <c r="G71" s="32">
        <f>$L71</f>
        <v>748</v>
      </c>
      <c r="L71" s="32">
        <v>748</v>
      </c>
      <c r="M71" s="32">
        <v>750</v>
      </c>
      <c r="N71" s="32">
        <v>768</v>
      </c>
      <c r="O71" s="32">
        <v>772</v>
      </c>
      <c r="P71" s="32">
        <v>772</v>
      </c>
      <c r="Q71" s="32">
        <v>767</v>
      </c>
      <c r="R71" s="32">
        <v>770</v>
      </c>
      <c r="S71" s="32">
        <v>783</v>
      </c>
      <c r="T71" s="32">
        <v>782</v>
      </c>
      <c r="U71" s="32">
        <v>796</v>
      </c>
      <c r="V71" s="32">
        <v>806</v>
      </c>
      <c r="W71" s="32">
        <v>843</v>
      </c>
      <c r="X71" s="32">
        <v>869</v>
      </c>
    </row>
    <row r="72" spans="2:26" x14ac:dyDescent="0.3">
      <c r="B72" s="89" t="s">
        <v>445</v>
      </c>
      <c r="D72" s="32">
        <f t="shared" si="49"/>
        <v>59</v>
      </c>
      <c r="E72" s="32">
        <f t="shared" si="49"/>
        <v>59</v>
      </c>
      <c r="F72" s="32">
        <f t="shared" si="49"/>
        <v>59</v>
      </c>
      <c r="G72" s="32">
        <f t="shared" si="49"/>
        <v>59</v>
      </c>
      <c r="L72" s="32">
        <v>59</v>
      </c>
      <c r="M72" s="32">
        <v>59</v>
      </c>
      <c r="N72" s="32">
        <v>59</v>
      </c>
      <c r="O72" s="32">
        <v>59</v>
      </c>
      <c r="P72" s="32">
        <v>59</v>
      </c>
      <c r="Q72" s="32">
        <v>59</v>
      </c>
      <c r="R72" s="32">
        <v>58</v>
      </c>
      <c r="S72" s="32">
        <v>58</v>
      </c>
      <c r="T72" s="32">
        <v>58</v>
      </c>
      <c r="U72" s="32">
        <v>58</v>
      </c>
      <c r="V72" s="32">
        <v>58</v>
      </c>
      <c r="W72" s="32">
        <v>59</v>
      </c>
      <c r="X72" s="32">
        <v>58</v>
      </c>
    </row>
    <row r="73" spans="2:26" x14ac:dyDescent="0.3">
      <c r="B73" s="89" t="s">
        <v>262</v>
      </c>
      <c r="D73" s="32">
        <f>D22</f>
        <v>119751.6066513916</v>
      </c>
      <c r="E73" s="32">
        <f>E22</f>
        <v>118411.44033094263</v>
      </c>
      <c r="F73" s="32">
        <f>F22</f>
        <v>117100.09479157848</v>
      </c>
      <c r="G73" s="32">
        <f>G22</f>
        <v>114491.81410339288</v>
      </c>
      <c r="L73" s="32">
        <v>112949</v>
      </c>
      <c r="M73" s="32">
        <v>111693</v>
      </c>
      <c r="N73" s="32">
        <v>109543</v>
      </c>
      <c r="O73" s="32">
        <v>108057</v>
      </c>
      <c r="P73" s="32">
        <v>106511</v>
      </c>
      <c r="Q73" s="32">
        <v>104300</v>
      </c>
      <c r="R73" s="32">
        <v>102806</v>
      </c>
      <c r="S73" s="32">
        <v>100749</v>
      </c>
      <c r="T73" s="32">
        <v>98720</v>
      </c>
      <c r="U73" s="32">
        <v>97306</v>
      </c>
      <c r="V73" s="32">
        <v>95955</v>
      </c>
      <c r="W73" s="32">
        <v>94255</v>
      </c>
      <c r="X73" s="32">
        <v>91230</v>
      </c>
    </row>
    <row r="74" spans="2:26" x14ac:dyDescent="0.3">
      <c r="B74" s="203" t="s">
        <v>263</v>
      </c>
      <c r="D74" s="152">
        <f t="shared" ref="D74:E74" si="50">E74 + D41</f>
        <v>139767.08196797856</v>
      </c>
      <c r="E74" s="152">
        <f t="shared" si="50"/>
        <v>134219.81725750471</v>
      </c>
      <c r="F74" s="152">
        <f>G74 + F41</f>
        <v>135500.59461507676</v>
      </c>
      <c r="G74" s="152">
        <f>L74 + G41</f>
        <v>156238.2085142408</v>
      </c>
      <c r="L74" s="152">
        <v>150854</v>
      </c>
      <c r="M74" s="152">
        <v>158025</v>
      </c>
      <c r="N74" s="152">
        <v>220170</v>
      </c>
      <c r="O74" s="152">
        <v>224536</v>
      </c>
      <c r="P74" s="152">
        <v>220827</v>
      </c>
      <c r="Q74" s="152">
        <v>221846</v>
      </c>
      <c r="R74" s="152">
        <v>228081</v>
      </c>
      <c r="S74" s="152">
        <v>240369</v>
      </c>
      <c r="T74" s="152">
        <v>252625</v>
      </c>
      <c r="U74" s="152">
        <v>264033</v>
      </c>
      <c r="V74" s="152">
        <v>282763</v>
      </c>
      <c r="W74" s="152">
        <v>316034</v>
      </c>
      <c r="X74" s="152">
        <v>341060</v>
      </c>
    </row>
    <row r="75" spans="2:26" x14ac:dyDescent="0.3">
      <c r="B75" s="89" t="s">
        <v>446</v>
      </c>
      <c r="D75" s="32">
        <f>ROUND(D23, -1)</f>
        <v>1970</v>
      </c>
      <c r="E75" s="32">
        <f>ROUND(E23, -1)</f>
        <v>1860</v>
      </c>
      <c r="F75" s="32">
        <f>ROUND(F23, -1)</f>
        <v>1750</v>
      </c>
      <c r="G75" s="32">
        <f>ROUND(G23, -1)</f>
        <v>1530</v>
      </c>
      <c r="L75" s="32">
        <v>1609</v>
      </c>
      <c r="M75" s="32">
        <v>1125</v>
      </c>
      <c r="N75" s="32">
        <v>1169</v>
      </c>
      <c r="O75" s="32">
        <v>1194</v>
      </c>
      <c r="P75" s="32">
        <v>335</v>
      </c>
      <c r="Q75" s="32">
        <v>772</v>
      </c>
      <c r="R75" s="32">
        <v>399</v>
      </c>
      <c r="S75" s="32">
        <v>713</v>
      </c>
      <c r="T75" s="32">
        <v>241</v>
      </c>
      <c r="U75" s="34">
        <v>0</v>
      </c>
      <c r="V75" s="34">
        <v>0</v>
      </c>
      <c r="W75" s="32">
        <v>531</v>
      </c>
      <c r="X75" s="34">
        <v>0</v>
      </c>
    </row>
    <row r="76" spans="2:26" x14ac:dyDescent="0.3">
      <c r="B76" s="89" t="s">
        <v>366</v>
      </c>
      <c r="D76" s="32">
        <f t="shared" ref="D76:F76" si="51">D75</f>
        <v>1970</v>
      </c>
      <c r="E76" s="32">
        <f t="shared" si="51"/>
        <v>1860</v>
      </c>
      <c r="F76" s="32">
        <f t="shared" si="51"/>
        <v>1750</v>
      </c>
      <c r="G76" s="32">
        <f>G75</f>
        <v>1530</v>
      </c>
      <c r="L76" s="32">
        <v>1609</v>
      </c>
      <c r="M76" s="32">
        <v>1125</v>
      </c>
      <c r="N76" s="32">
        <v>1169</v>
      </c>
      <c r="O76" s="32">
        <v>1194</v>
      </c>
      <c r="P76" s="32">
        <v>335</v>
      </c>
      <c r="Q76" s="32">
        <v>772</v>
      </c>
      <c r="R76" s="32">
        <v>399</v>
      </c>
      <c r="S76" s="32">
        <v>713</v>
      </c>
      <c r="T76" s="32">
        <v>241</v>
      </c>
      <c r="U76" s="32">
        <v>411</v>
      </c>
      <c r="V76" s="32">
        <v>219</v>
      </c>
      <c r="W76" s="32">
        <v>531</v>
      </c>
      <c r="X76" s="32">
        <v>953</v>
      </c>
    </row>
    <row r="77" spans="2:26" s="39" customFormat="1" x14ac:dyDescent="0.3">
      <c r="B77" s="76" t="s">
        <v>447</v>
      </c>
      <c r="C77" s="25"/>
      <c r="D77" s="77">
        <f t="shared" ref="D77:G77" si="52">SUM(D71:D74, D76)</f>
        <v>262295.68861937016</v>
      </c>
      <c r="E77" s="77">
        <f t="shared" si="52"/>
        <v>255298.25758844733</v>
      </c>
      <c r="F77" s="77">
        <f t="shared" si="52"/>
        <v>255157.68940665523</v>
      </c>
      <c r="G77" s="77">
        <f t="shared" si="52"/>
        <v>273067.02261763369</v>
      </c>
      <c r="H77" s="77"/>
      <c r="I77" s="77"/>
      <c r="J77" s="77"/>
      <c r="K77" s="25"/>
      <c r="L77" s="77">
        <f>SUM(L71:L74, L76)</f>
        <v>266219</v>
      </c>
      <c r="M77" s="77">
        <f t="shared" ref="M77:X77" si="53">SUM(M71:M74, M76)</f>
        <v>271652</v>
      </c>
      <c r="N77" s="77">
        <f t="shared" si="53"/>
        <v>331709</v>
      </c>
      <c r="O77" s="77">
        <f t="shared" si="53"/>
        <v>334618</v>
      </c>
      <c r="P77" s="77">
        <f t="shared" si="53"/>
        <v>328504</v>
      </c>
      <c r="Q77" s="77">
        <f t="shared" si="53"/>
        <v>327744</v>
      </c>
      <c r="R77" s="77">
        <f t="shared" si="53"/>
        <v>332114</v>
      </c>
      <c r="S77" s="77">
        <f t="shared" si="53"/>
        <v>342672</v>
      </c>
      <c r="T77" s="77">
        <f t="shared" si="53"/>
        <v>352426</v>
      </c>
      <c r="U77" s="77">
        <f t="shared" si="53"/>
        <v>362604</v>
      </c>
      <c r="V77" s="77">
        <f t="shared" si="53"/>
        <v>379801</v>
      </c>
      <c r="W77" s="77">
        <f t="shared" si="53"/>
        <v>411722</v>
      </c>
      <c r="X77" s="77">
        <f t="shared" si="53"/>
        <v>434170</v>
      </c>
      <c r="Y77"/>
      <c r="Z77"/>
    </row>
    <row r="78" spans="2:26" x14ac:dyDescent="0.3">
      <c r="B78" s="30"/>
    </row>
    <row r="79" spans="2:26" s="64" customFormat="1" hidden="1" outlineLevel="1" x14ac:dyDescent="0.3">
      <c r="B79" s="56" t="s">
        <v>266</v>
      </c>
      <c r="C79" s="3"/>
      <c r="D79" s="57"/>
      <c r="E79" s="57"/>
      <c r="F79" s="57"/>
      <c r="G79" s="57"/>
      <c r="H79" s="57"/>
      <c r="I79" s="57"/>
      <c r="J79" s="57"/>
      <c r="K79" s="3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/>
      <c r="Z79"/>
    </row>
    <row r="80" spans="2:26" hidden="1" outlineLevel="1" x14ac:dyDescent="0.3">
      <c r="B80" s="30" t="s">
        <v>214</v>
      </c>
      <c r="L80" s="32">
        <v>-35587</v>
      </c>
      <c r="M80" s="32">
        <v>-28417</v>
      </c>
      <c r="N80" s="32">
        <v>39107</v>
      </c>
      <c r="O80" s="32">
        <v>33122</v>
      </c>
      <c r="P80" s="32">
        <v>21255</v>
      </c>
      <c r="Q80" s="32">
        <v>33693</v>
      </c>
      <c r="R80" s="32">
        <v>29892</v>
      </c>
      <c r="S80" s="32">
        <v>23411</v>
      </c>
      <c r="T80" s="32">
        <v>24045</v>
      </c>
      <c r="U80" s="32">
        <v>21351</v>
      </c>
      <c r="V80" s="32">
        <v>22233</v>
      </c>
      <c r="W80" s="32">
        <v>60021</v>
      </c>
      <c r="X80" s="32">
        <v>35874</v>
      </c>
    </row>
    <row r="81" spans="2:24" hidden="1" outlineLevel="1" x14ac:dyDescent="0.3">
      <c r="B81" s="30" t="s">
        <v>274</v>
      </c>
      <c r="L81" s="32">
        <v>7494</v>
      </c>
      <c r="M81" s="32">
        <v>4006</v>
      </c>
      <c r="N81" s="32">
        <v>11523</v>
      </c>
      <c r="O81" s="32">
        <v>7679</v>
      </c>
      <c r="P81" s="32">
        <v>3843</v>
      </c>
      <c r="Q81" s="32">
        <v>12470</v>
      </c>
      <c r="R81" s="32">
        <v>8376</v>
      </c>
      <c r="S81" s="32">
        <v>4224</v>
      </c>
      <c r="T81" s="32">
        <v>14989</v>
      </c>
      <c r="U81" s="32">
        <v>9942</v>
      </c>
      <c r="V81" s="32">
        <v>5060</v>
      </c>
      <c r="W81" s="32">
        <v>17082</v>
      </c>
      <c r="X81" s="32">
        <v>5676</v>
      </c>
    </row>
    <row r="82" spans="2:24" hidden="1" outlineLevel="1" x14ac:dyDescent="0.3">
      <c r="B82" s="30" t="s">
        <v>448</v>
      </c>
      <c r="L82" s="32">
        <v>109</v>
      </c>
      <c r="M82" s="32">
        <v>28</v>
      </c>
      <c r="N82" s="32">
        <v>539</v>
      </c>
      <c r="O82" s="32">
        <v>366</v>
      </c>
      <c r="P82" s="32">
        <v>178</v>
      </c>
      <c r="Q82" s="32">
        <v>301</v>
      </c>
      <c r="R82" s="32">
        <v>127</v>
      </c>
      <c r="S82" s="32">
        <v>-70</v>
      </c>
      <c r="T82" s="32">
        <v>466</v>
      </c>
      <c r="U82" s="32">
        <v>258</v>
      </c>
      <c r="V82" s="32">
        <v>54</v>
      </c>
      <c r="W82" s="32">
        <v>658</v>
      </c>
      <c r="X82" s="32">
        <v>246</v>
      </c>
    </row>
    <row r="83" spans="2:24" hidden="1" outlineLevel="1" x14ac:dyDescent="0.3">
      <c r="B83" s="30" t="s">
        <v>449</v>
      </c>
      <c r="L83" s="32">
        <v>161</v>
      </c>
      <c r="M83" s="32">
        <v>-18</v>
      </c>
      <c r="N83" s="32">
        <v>-380</v>
      </c>
      <c r="O83" s="32">
        <v>-168</v>
      </c>
      <c r="P83" s="32">
        <v>58</v>
      </c>
      <c r="Q83" s="32">
        <v>420</v>
      </c>
      <c r="R83" s="32">
        <v>277</v>
      </c>
      <c r="S83" s="32">
        <v>181</v>
      </c>
      <c r="T83" s="32">
        <v>2742</v>
      </c>
      <c r="U83" s="32">
        <v>1854</v>
      </c>
      <c r="V83" s="32">
        <v>657</v>
      </c>
      <c r="W83" s="32">
        <v>-426</v>
      </c>
      <c r="X83" s="32">
        <v>4</v>
      </c>
    </row>
    <row r="84" spans="2:24" hidden="1" outlineLevel="1" x14ac:dyDescent="0.3">
      <c r="B84" s="30" t="s">
        <v>450</v>
      </c>
      <c r="L84" s="32">
        <v>1903</v>
      </c>
      <c r="M84" s="32">
        <v>650</v>
      </c>
      <c r="N84" s="32">
        <v>3450</v>
      </c>
      <c r="O84" s="32">
        <v>2196</v>
      </c>
      <c r="P84" s="32">
        <v>691</v>
      </c>
      <c r="Q84" s="32">
        <v>3697</v>
      </c>
      <c r="R84" s="32">
        <v>2422</v>
      </c>
      <c r="S84" s="32">
        <v>592</v>
      </c>
      <c r="T84" s="32">
        <v>3002</v>
      </c>
      <c r="U84" s="32">
        <v>1778</v>
      </c>
      <c r="V84" s="32">
        <v>449</v>
      </c>
      <c r="W84" s="32">
        <v>3044</v>
      </c>
      <c r="X84" s="32">
        <v>394</v>
      </c>
    </row>
    <row r="85" spans="2:24" hidden="1" outlineLevel="1" x14ac:dyDescent="0.3">
      <c r="B85" s="30" t="s">
        <v>451</v>
      </c>
      <c r="L85" s="32" t="s">
        <v>207</v>
      </c>
      <c r="M85" s="32" t="s">
        <v>207</v>
      </c>
      <c r="N85" s="32" t="s">
        <v>207</v>
      </c>
      <c r="O85" s="32" t="s">
        <v>207</v>
      </c>
      <c r="P85" s="32" t="s">
        <v>207</v>
      </c>
      <c r="Q85" s="32" t="s">
        <v>207</v>
      </c>
      <c r="R85" s="32" t="s">
        <v>207</v>
      </c>
      <c r="S85" s="32" t="s">
        <v>207</v>
      </c>
      <c r="T85" s="32" t="s">
        <v>207</v>
      </c>
      <c r="U85" s="32" t="s">
        <v>207</v>
      </c>
      <c r="V85" s="32" t="s">
        <v>207</v>
      </c>
      <c r="W85" s="32">
        <v>-194</v>
      </c>
      <c r="X85" s="32">
        <v>-62</v>
      </c>
    </row>
    <row r="86" spans="2:24" hidden="1" outlineLevel="1" x14ac:dyDescent="0.3">
      <c r="B86" s="30" t="s">
        <v>376</v>
      </c>
      <c r="L86" s="32">
        <v>2669</v>
      </c>
      <c r="M86" s="32">
        <v>313</v>
      </c>
      <c r="N86" s="32" t="s">
        <v>207</v>
      </c>
      <c r="O86" s="32" t="s">
        <v>207</v>
      </c>
      <c r="P86" s="32" t="s">
        <v>207</v>
      </c>
      <c r="Q86" s="32">
        <v>1556</v>
      </c>
      <c r="R86" s="32" t="s">
        <v>207</v>
      </c>
      <c r="S86" s="32" t="s">
        <v>207</v>
      </c>
      <c r="T86" s="32">
        <v>1015</v>
      </c>
      <c r="U86" s="32">
        <v>1015</v>
      </c>
      <c r="V86" s="32">
        <v>1015</v>
      </c>
      <c r="W86" s="32" t="s">
        <v>207</v>
      </c>
      <c r="X86" s="32" t="s">
        <v>207</v>
      </c>
    </row>
    <row r="87" spans="2:24" hidden="1" outlineLevel="1" x14ac:dyDescent="0.3">
      <c r="B87" s="30" t="s">
        <v>452</v>
      </c>
      <c r="L87" s="32" t="s">
        <v>207</v>
      </c>
      <c r="M87" s="32" t="s">
        <v>207</v>
      </c>
      <c r="N87" s="32" t="s">
        <v>207</v>
      </c>
      <c r="O87" s="32" t="s">
        <v>207</v>
      </c>
      <c r="P87" s="32" t="s">
        <v>207</v>
      </c>
      <c r="Q87" s="32" t="s">
        <v>207</v>
      </c>
      <c r="R87" s="32" t="s">
        <v>207</v>
      </c>
      <c r="S87" s="32" t="s">
        <v>207</v>
      </c>
      <c r="T87" s="32" t="s">
        <v>207</v>
      </c>
      <c r="U87" s="32" t="s">
        <v>207</v>
      </c>
      <c r="V87" s="32" t="s">
        <v>207</v>
      </c>
      <c r="W87" s="32">
        <v>1495</v>
      </c>
      <c r="X87" s="32" t="s">
        <v>207</v>
      </c>
    </row>
    <row r="88" spans="2:24" hidden="1" outlineLevel="1" x14ac:dyDescent="0.3">
      <c r="B88" s="30" t="s">
        <v>453</v>
      </c>
      <c r="L88" s="32">
        <v>162</v>
      </c>
      <c r="M88" s="32">
        <v>66</v>
      </c>
      <c r="N88" s="32">
        <v>555</v>
      </c>
      <c r="O88" s="32">
        <v>344</v>
      </c>
      <c r="P88" s="32">
        <v>182</v>
      </c>
      <c r="Q88" s="32">
        <v>530</v>
      </c>
      <c r="R88" s="32">
        <v>414</v>
      </c>
      <c r="S88" s="32">
        <v>84</v>
      </c>
      <c r="T88" s="32">
        <v>611</v>
      </c>
      <c r="U88" s="32">
        <v>592</v>
      </c>
      <c r="V88" s="32">
        <v>246</v>
      </c>
      <c r="W88" s="32" t="s">
        <v>207</v>
      </c>
      <c r="X88" s="32">
        <v>936</v>
      </c>
    </row>
    <row r="89" spans="2:24" hidden="1" outlineLevel="1" x14ac:dyDescent="0.3">
      <c r="B89" s="30" t="s">
        <v>454</v>
      </c>
      <c r="L89" s="32">
        <v>5270</v>
      </c>
      <c r="M89" s="32" t="s">
        <v>207</v>
      </c>
      <c r="N89" s="32" t="s">
        <v>207</v>
      </c>
      <c r="O89" s="32" t="s">
        <v>207</v>
      </c>
      <c r="P89" s="32" t="s">
        <v>207</v>
      </c>
      <c r="Q89" s="32" t="s">
        <v>207</v>
      </c>
      <c r="R89" s="32" t="s">
        <v>207</v>
      </c>
      <c r="S89" s="32" t="s">
        <v>207</v>
      </c>
      <c r="T89" s="32" t="s">
        <v>207</v>
      </c>
      <c r="U89" s="32" t="s">
        <v>207</v>
      </c>
      <c r="V89" s="32" t="s">
        <v>207</v>
      </c>
      <c r="W89" s="32" t="s">
        <v>207</v>
      </c>
      <c r="X89" s="32" t="s">
        <v>207</v>
      </c>
    </row>
    <row r="90" spans="2:24" hidden="1" outlineLevel="1" x14ac:dyDescent="0.3">
      <c r="B90" s="30" t="s">
        <v>455</v>
      </c>
      <c r="L90" s="32" t="s">
        <v>207</v>
      </c>
      <c r="M90" s="32">
        <v>5270</v>
      </c>
      <c r="N90" s="32" t="s">
        <v>207</v>
      </c>
      <c r="O90" s="32" t="s">
        <v>207</v>
      </c>
      <c r="P90" s="32" t="s">
        <v>207</v>
      </c>
      <c r="Q90" s="32" t="s">
        <v>207</v>
      </c>
      <c r="R90" s="32" t="s">
        <v>207</v>
      </c>
      <c r="S90" s="32" t="s">
        <v>207</v>
      </c>
      <c r="T90" s="32" t="s">
        <v>207</v>
      </c>
      <c r="U90" s="32" t="s">
        <v>207</v>
      </c>
      <c r="V90" s="32" t="s">
        <v>207</v>
      </c>
      <c r="W90" s="32" t="s">
        <v>207</v>
      </c>
      <c r="X90" s="32" t="s">
        <v>207</v>
      </c>
    </row>
    <row r="91" spans="2:24" hidden="1" outlineLevel="1" x14ac:dyDescent="0.3">
      <c r="B91" s="30" t="s">
        <v>384</v>
      </c>
      <c r="L91" s="32">
        <v>-13058</v>
      </c>
      <c r="M91" s="32">
        <v>-4402</v>
      </c>
      <c r="N91" s="32">
        <v>119</v>
      </c>
      <c r="O91" s="32">
        <v>292</v>
      </c>
      <c r="P91" s="32">
        <v>-1926</v>
      </c>
      <c r="Q91" s="32">
        <v>-9288</v>
      </c>
      <c r="R91" s="32">
        <v>-6844</v>
      </c>
      <c r="S91" s="32">
        <v>-8977</v>
      </c>
      <c r="T91" s="32">
        <v>-497</v>
      </c>
      <c r="U91" s="32">
        <v>523</v>
      </c>
      <c r="V91" s="32">
        <v>-2015</v>
      </c>
      <c r="W91" s="32">
        <v>2845</v>
      </c>
      <c r="X91" s="32">
        <v>-1057</v>
      </c>
    </row>
    <row r="92" spans="2:24" hidden="1" outlineLevel="1" x14ac:dyDescent="0.3">
      <c r="B92" s="30" t="s">
        <v>435</v>
      </c>
      <c r="L92" s="32">
        <v>27085</v>
      </c>
      <c r="M92" s="32">
        <v>-7402</v>
      </c>
      <c r="N92" s="32">
        <v>5536</v>
      </c>
      <c r="O92" s="32">
        <v>19633</v>
      </c>
      <c r="P92" s="32">
        <v>8370</v>
      </c>
      <c r="Q92" s="32">
        <v>8489</v>
      </c>
      <c r="R92" s="32">
        <v>17065</v>
      </c>
      <c r="S92" s="32">
        <v>13643</v>
      </c>
      <c r="T92" s="32">
        <v>17919</v>
      </c>
      <c r="U92" s="32">
        <v>39485</v>
      </c>
      <c r="V92" s="32">
        <v>13897</v>
      </c>
      <c r="W92" s="32">
        <v>-12245</v>
      </c>
      <c r="X92" s="32">
        <v>6935</v>
      </c>
    </row>
    <row r="93" spans="2:24" hidden="1" outlineLevel="1" x14ac:dyDescent="0.3">
      <c r="B93" s="30" t="s">
        <v>456</v>
      </c>
      <c r="L93" s="32">
        <v>-7291</v>
      </c>
      <c r="M93" s="32">
        <v>-255</v>
      </c>
      <c r="N93" s="32">
        <v>37447</v>
      </c>
      <c r="O93" s="32">
        <v>22909</v>
      </c>
      <c r="P93" s="32">
        <v>8643</v>
      </c>
      <c r="Q93" s="32">
        <v>11115</v>
      </c>
      <c r="R93" s="32">
        <v>11453</v>
      </c>
      <c r="S93" s="32">
        <v>10805</v>
      </c>
      <c r="T93" s="32">
        <v>-1232</v>
      </c>
      <c r="U93" s="32">
        <v>892</v>
      </c>
      <c r="V93" s="32">
        <v>936</v>
      </c>
      <c r="W93" s="32">
        <v>-2986</v>
      </c>
      <c r="X93" s="32">
        <v>-462</v>
      </c>
    </row>
    <row r="94" spans="2:24" hidden="1" outlineLevel="1" x14ac:dyDescent="0.3">
      <c r="B94" s="30" t="s">
        <v>457</v>
      </c>
      <c r="L94" s="32">
        <v>-920</v>
      </c>
      <c r="M94" s="32">
        <v>-1027</v>
      </c>
      <c r="N94" s="32" t="s">
        <v>207</v>
      </c>
      <c r="O94" s="32" t="s">
        <v>207</v>
      </c>
      <c r="P94" s="32" t="s">
        <v>207</v>
      </c>
      <c r="Q94" s="32" t="s">
        <v>207</v>
      </c>
      <c r="R94" s="32" t="s">
        <v>207</v>
      </c>
      <c r="S94" s="32" t="s">
        <v>207</v>
      </c>
      <c r="T94" s="32" t="s">
        <v>207</v>
      </c>
      <c r="U94" s="32" t="s">
        <v>207</v>
      </c>
      <c r="V94" s="32" t="s">
        <v>207</v>
      </c>
      <c r="W94" s="32" t="s">
        <v>207</v>
      </c>
      <c r="X94" s="32" t="s">
        <v>207</v>
      </c>
    </row>
    <row r="95" spans="2:24" hidden="1" outlineLevel="1" x14ac:dyDescent="0.3">
      <c r="B95" s="30" t="s">
        <v>458</v>
      </c>
      <c r="L95" s="32">
        <v>-467</v>
      </c>
      <c r="M95" s="32">
        <v>-13</v>
      </c>
      <c r="N95" s="32">
        <v>1568</v>
      </c>
      <c r="O95" s="32">
        <v>1332</v>
      </c>
      <c r="P95" s="32">
        <v>2629</v>
      </c>
      <c r="Q95" s="32">
        <v>99</v>
      </c>
      <c r="R95" s="32">
        <v>1022</v>
      </c>
      <c r="S95" s="32">
        <v>1092</v>
      </c>
      <c r="T95" s="32" t="s">
        <v>207</v>
      </c>
      <c r="U95" s="32" t="s">
        <v>207</v>
      </c>
      <c r="V95" s="32" t="s">
        <v>207</v>
      </c>
      <c r="W95" s="32">
        <v>-943</v>
      </c>
      <c r="X95" s="32">
        <v>10551</v>
      </c>
    </row>
    <row r="96" spans="2:24" hidden="1" outlineLevel="1" x14ac:dyDescent="0.3">
      <c r="B96" s="30" t="s">
        <v>459</v>
      </c>
      <c r="L96" s="32">
        <v>-35759</v>
      </c>
      <c r="M96" s="32">
        <v>-40134</v>
      </c>
      <c r="N96" s="32">
        <v>-50158</v>
      </c>
      <c r="O96" s="32">
        <v>-42524</v>
      </c>
      <c r="P96" s="32">
        <v>-29255</v>
      </c>
      <c r="Q96" s="32">
        <v>-8855</v>
      </c>
      <c r="R96" s="32">
        <v>-7747</v>
      </c>
      <c r="S96" s="32">
        <v>-13357</v>
      </c>
      <c r="T96" s="32">
        <v>-24752</v>
      </c>
      <c r="U96" s="32">
        <v>-34287</v>
      </c>
      <c r="V96" s="32">
        <v>-26932</v>
      </c>
      <c r="W96" s="32">
        <v>-22097</v>
      </c>
      <c r="X96" s="32">
        <v>-22875</v>
      </c>
    </row>
    <row r="97" spans="2:24" hidden="1" outlineLevel="1" x14ac:dyDescent="0.3">
      <c r="B97" s="30" t="s">
        <v>281</v>
      </c>
      <c r="L97" s="32">
        <v>-48229</v>
      </c>
      <c r="M97" s="32">
        <v>-71335</v>
      </c>
      <c r="N97" s="32">
        <v>49306</v>
      </c>
      <c r="O97" s="32">
        <v>45181</v>
      </c>
      <c r="P97" s="32">
        <v>14668</v>
      </c>
      <c r="Q97" s="32">
        <v>54227</v>
      </c>
      <c r="R97" s="32">
        <v>56457</v>
      </c>
      <c r="S97" s="32">
        <v>31628</v>
      </c>
      <c r="T97" s="32">
        <v>38308</v>
      </c>
      <c r="U97" s="32">
        <v>43403</v>
      </c>
      <c r="V97" s="32">
        <v>15600</v>
      </c>
      <c r="W97" s="32">
        <v>46254</v>
      </c>
      <c r="X97" s="32">
        <v>36160</v>
      </c>
    </row>
    <row r="98" spans="2:24" hidden="1" outlineLevel="1" x14ac:dyDescent="0.3">
      <c r="B98" s="30" t="s">
        <v>460</v>
      </c>
      <c r="L98" s="32">
        <v>-9801</v>
      </c>
      <c r="M98" s="32">
        <v>-5311</v>
      </c>
      <c r="N98" s="32">
        <v>-4946</v>
      </c>
      <c r="O98" s="32">
        <v>-2217</v>
      </c>
      <c r="P98" s="32">
        <v>-995</v>
      </c>
      <c r="Q98" s="32">
        <v>-3224</v>
      </c>
      <c r="R98" s="32">
        <v>-1879</v>
      </c>
      <c r="S98" s="32">
        <v>-675</v>
      </c>
      <c r="T98" s="32">
        <v>-8762</v>
      </c>
      <c r="U98" s="32">
        <v>-6425</v>
      </c>
      <c r="V98" s="32">
        <v>-3446</v>
      </c>
      <c r="W98" s="32">
        <v>-24043</v>
      </c>
      <c r="X98" s="32">
        <v>-6030</v>
      </c>
    </row>
    <row r="99" spans="2:24" hidden="1" outlineLevel="1" x14ac:dyDescent="0.3">
      <c r="B99" s="30" t="s">
        <v>461</v>
      </c>
      <c r="L99" s="32">
        <v>-8275</v>
      </c>
      <c r="M99" s="32">
        <v>-8275</v>
      </c>
      <c r="N99" s="32">
        <v>-177807</v>
      </c>
      <c r="O99" s="32">
        <v>-106518</v>
      </c>
      <c r="P99" s="32">
        <v>-44709</v>
      </c>
      <c r="Q99" s="32">
        <v>-122819</v>
      </c>
      <c r="R99" s="32">
        <v>-111245</v>
      </c>
      <c r="S99" s="32">
        <v>-36208</v>
      </c>
      <c r="T99" s="32">
        <v>-15771</v>
      </c>
      <c r="U99" s="32">
        <v>-15770</v>
      </c>
      <c r="V99" s="32">
        <v>-9770</v>
      </c>
      <c r="W99" s="32">
        <v>-101461</v>
      </c>
      <c r="X99" s="32">
        <v>-36900</v>
      </c>
    </row>
    <row r="100" spans="2:24" hidden="1" outlineLevel="1" x14ac:dyDescent="0.3">
      <c r="B100" s="30" t="s">
        <v>462</v>
      </c>
      <c r="L100" s="32">
        <v>108886</v>
      </c>
      <c r="M100" s="32">
        <v>90435</v>
      </c>
      <c r="N100" s="32">
        <v>160858</v>
      </c>
      <c r="O100" s="32">
        <v>85364</v>
      </c>
      <c r="P100" s="32">
        <v>53639</v>
      </c>
      <c r="Q100" s="32">
        <v>58113</v>
      </c>
      <c r="R100" s="32">
        <v>43328</v>
      </c>
      <c r="S100" s="32">
        <v>7908</v>
      </c>
      <c r="T100" s="32">
        <v>78964</v>
      </c>
      <c r="U100" s="32">
        <v>56461</v>
      </c>
      <c r="V100" s="32">
        <v>32304</v>
      </c>
      <c r="W100" s="32">
        <v>107131</v>
      </c>
      <c r="X100" s="32">
        <v>10683</v>
      </c>
    </row>
    <row r="101" spans="2:24" hidden="1" outlineLevel="1" x14ac:dyDescent="0.3">
      <c r="B101" s="30" t="s">
        <v>463</v>
      </c>
      <c r="L101" s="32" t="s">
        <v>207</v>
      </c>
      <c r="M101" s="32" t="s">
        <v>207</v>
      </c>
      <c r="N101" s="32">
        <v>-332</v>
      </c>
      <c r="O101" s="32">
        <v>-74</v>
      </c>
      <c r="P101" s="32">
        <v>-22</v>
      </c>
      <c r="Q101" s="32">
        <v>-143</v>
      </c>
      <c r="R101" s="32">
        <v>-107</v>
      </c>
      <c r="S101" s="32">
        <v>-91</v>
      </c>
      <c r="T101" s="32">
        <v>-657</v>
      </c>
      <c r="U101" s="32">
        <v>-661</v>
      </c>
      <c r="V101" s="32">
        <v>-654</v>
      </c>
      <c r="W101" s="32">
        <v>-261</v>
      </c>
      <c r="X101" s="32">
        <v>-63</v>
      </c>
    </row>
    <row r="102" spans="2:24" hidden="1" outlineLevel="1" x14ac:dyDescent="0.3">
      <c r="B102" s="30" t="s">
        <v>464</v>
      </c>
      <c r="L102" s="32">
        <v>199</v>
      </c>
      <c r="M102" s="32">
        <v>94</v>
      </c>
      <c r="N102" s="32">
        <v>13</v>
      </c>
      <c r="O102" s="32">
        <v>9</v>
      </c>
      <c r="P102" s="32">
        <v>4</v>
      </c>
      <c r="Q102" s="32">
        <v>4</v>
      </c>
      <c r="R102" s="32">
        <v>4</v>
      </c>
      <c r="S102" s="32">
        <v>4</v>
      </c>
      <c r="T102" s="32">
        <v>6</v>
      </c>
      <c r="U102" s="32" t="s">
        <v>207</v>
      </c>
      <c r="V102" s="32" t="s">
        <v>207</v>
      </c>
      <c r="W102" s="32" t="s">
        <v>207</v>
      </c>
      <c r="X102" s="32" t="s">
        <v>207</v>
      </c>
    </row>
    <row r="103" spans="2:24" hidden="1" outlineLevel="1" x14ac:dyDescent="0.3">
      <c r="B103" s="30" t="s">
        <v>465</v>
      </c>
      <c r="L103" s="32" t="s">
        <v>207</v>
      </c>
      <c r="M103" s="32" t="s">
        <v>207</v>
      </c>
      <c r="N103" s="32" t="s">
        <v>207</v>
      </c>
      <c r="O103" s="32" t="s">
        <v>207</v>
      </c>
      <c r="P103" s="32" t="s">
        <v>207</v>
      </c>
      <c r="Q103" s="32" t="s">
        <v>207</v>
      </c>
      <c r="R103" s="32" t="s">
        <v>207</v>
      </c>
      <c r="S103" s="32" t="s">
        <v>207</v>
      </c>
      <c r="T103" s="32">
        <v>-20</v>
      </c>
      <c r="U103" s="32">
        <v>-13</v>
      </c>
      <c r="V103" s="32">
        <v>-5</v>
      </c>
      <c r="W103" s="32">
        <v>-12</v>
      </c>
      <c r="X103" s="32">
        <v>-2</v>
      </c>
    </row>
    <row r="104" spans="2:24" hidden="1" outlineLevel="1" x14ac:dyDescent="0.3">
      <c r="B104" s="30" t="s">
        <v>287</v>
      </c>
      <c r="L104" s="32">
        <v>91009</v>
      </c>
      <c r="M104" s="32">
        <v>76943</v>
      </c>
      <c r="N104" s="32">
        <v>-22214</v>
      </c>
      <c r="O104" s="32">
        <v>-23436</v>
      </c>
      <c r="P104" s="32">
        <v>7917</v>
      </c>
      <c r="Q104" s="32">
        <v>-68069</v>
      </c>
      <c r="R104" s="32">
        <v>-69899</v>
      </c>
      <c r="S104" s="32">
        <v>-29062</v>
      </c>
      <c r="T104" s="32">
        <v>53760</v>
      </c>
      <c r="U104" s="32">
        <v>33592</v>
      </c>
      <c r="V104" s="32">
        <v>18429</v>
      </c>
      <c r="W104" s="32">
        <v>-18646</v>
      </c>
      <c r="X104" s="32">
        <v>-32312</v>
      </c>
    </row>
    <row r="105" spans="2:24" hidden="1" outlineLevel="1" x14ac:dyDescent="0.3">
      <c r="B105" s="30" t="s">
        <v>399</v>
      </c>
      <c r="L105" s="32">
        <v>-7990</v>
      </c>
      <c r="M105" s="32">
        <v>-7990</v>
      </c>
      <c r="N105" s="32">
        <v>-24461</v>
      </c>
      <c r="O105" s="32">
        <v>-16291</v>
      </c>
      <c r="P105" s="32">
        <v>-8118</v>
      </c>
      <c r="Q105" s="32">
        <v>-24455</v>
      </c>
      <c r="R105" s="32">
        <v>-16338</v>
      </c>
      <c r="S105" s="32">
        <v>-8186</v>
      </c>
      <c r="T105" s="32">
        <v>-25466</v>
      </c>
      <c r="U105" s="32">
        <v>-17204</v>
      </c>
      <c r="V105" s="32">
        <v>-8677</v>
      </c>
      <c r="W105" s="32">
        <v>-26527</v>
      </c>
      <c r="X105" s="32">
        <v>-8318</v>
      </c>
    </row>
    <row r="106" spans="2:24" hidden="1" outlineLevel="1" x14ac:dyDescent="0.3">
      <c r="B106" s="30" t="s">
        <v>466</v>
      </c>
      <c r="L106" s="32">
        <v>-9875</v>
      </c>
      <c r="M106" s="32">
        <v>-9875</v>
      </c>
      <c r="N106" s="32">
        <v>-5032</v>
      </c>
      <c r="O106" s="32">
        <v>-2834</v>
      </c>
      <c r="P106" s="32">
        <v>-2834</v>
      </c>
      <c r="Q106" s="32">
        <v>-13344</v>
      </c>
      <c r="R106" s="32">
        <v>-10461</v>
      </c>
      <c r="S106" s="32">
        <v>-760</v>
      </c>
      <c r="T106" s="32">
        <v>-35708</v>
      </c>
      <c r="U106" s="32">
        <v>-29618</v>
      </c>
      <c r="V106" s="32">
        <v>-20464</v>
      </c>
      <c r="W106" s="32">
        <v>-36252</v>
      </c>
      <c r="X106" s="32">
        <v>-7100</v>
      </c>
    </row>
    <row r="107" spans="2:24" hidden="1" outlineLevel="1" x14ac:dyDescent="0.3">
      <c r="B107" s="30" t="s">
        <v>467</v>
      </c>
      <c r="L107" s="32">
        <v>34000</v>
      </c>
      <c r="M107" s="32">
        <v>34000</v>
      </c>
      <c r="N107" s="32" t="s">
        <v>207</v>
      </c>
      <c r="O107" s="32" t="s">
        <v>207</v>
      </c>
      <c r="P107" s="32" t="s">
        <v>207</v>
      </c>
      <c r="Q107" s="32" t="s">
        <v>207</v>
      </c>
      <c r="R107" s="32" t="s">
        <v>207</v>
      </c>
      <c r="S107" s="32" t="s">
        <v>207</v>
      </c>
      <c r="T107" s="32" t="s">
        <v>207</v>
      </c>
      <c r="U107" s="32" t="s">
        <v>207</v>
      </c>
      <c r="V107" s="32" t="s">
        <v>207</v>
      </c>
      <c r="W107" s="32" t="s">
        <v>207</v>
      </c>
      <c r="X107" s="32" t="s">
        <v>207</v>
      </c>
    </row>
    <row r="108" spans="2:24" hidden="1" outlineLevel="1" x14ac:dyDescent="0.3">
      <c r="B108" s="30" t="s">
        <v>468</v>
      </c>
      <c r="L108" s="32">
        <v>-34000</v>
      </c>
      <c r="M108" s="32">
        <v>-4000</v>
      </c>
      <c r="N108" s="32" t="s">
        <v>207</v>
      </c>
      <c r="O108" s="32" t="s">
        <v>207</v>
      </c>
      <c r="P108" s="32" t="s">
        <v>207</v>
      </c>
      <c r="Q108" s="32" t="s">
        <v>207</v>
      </c>
      <c r="R108" s="32" t="s">
        <v>207</v>
      </c>
      <c r="S108" s="32" t="s">
        <v>207</v>
      </c>
      <c r="T108" s="32" t="s">
        <v>207</v>
      </c>
      <c r="U108" s="32" t="s">
        <v>207</v>
      </c>
      <c r="V108" s="32" t="s">
        <v>207</v>
      </c>
      <c r="W108" s="32" t="s">
        <v>207</v>
      </c>
      <c r="X108" s="32" t="s">
        <v>207</v>
      </c>
    </row>
    <row r="109" spans="2:24" hidden="1" outlineLevel="1" x14ac:dyDescent="0.3">
      <c r="B109" s="30" t="s">
        <v>467</v>
      </c>
      <c r="L109" s="32" t="s">
        <v>207</v>
      </c>
      <c r="M109" s="32" t="s">
        <v>207</v>
      </c>
      <c r="N109" s="32" t="s">
        <v>207</v>
      </c>
      <c r="O109" s="32" t="s">
        <v>207</v>
      </c>
      <c r="P109" s="32" t="s">
        <v>207</v>
      </c>
      <c r="Q109" s="32" t="s">
        <v>207</v>
      </c>
      <c r="R109" s="32" t="s">
        <v>207</v>
      </c>
      <c r="S109" s="32" t="s">
        <v>207</v>
      </c>
      <c r="T109" s="32">
        <v>21000</v>
      </c>
      <c r="U109" s="32">
        <v>21000</v>
      </c>
      <c r="V109" s="32">
        <v>21000</v>
      </c>
      <c r="W109" s="32">
        <v>21000</v>
      </c>
      <c r="X109" s="32" t="s">
        <v>207</v>
      </c>
    </row>
    <row r="110" spans="2:24" hidden="1" outlineLevel="1" x14ac:dyDescent="0.3">
      <c r="B110" s="30" t="s">
        <v>469</v>
      </c>
      <c r="L110" s="32" t="s">
        <v>207</v>
      </c>
      <c r="M110" s="32" t="s">
        <v>207</v>
      </c>
      <c r="N110" s="32" t="s">
        <v>207</v>
      </c>
      <c r="O110" s="32" t="s">
        <v>207</v>
      </c>
      <c r="P110" s="32" t="s">
        <v>207</v>
      </c>
      <c r="Q110" s="32" t="s">
        <v>207</v>
      </c>
      <c r="R110" s="32" t="s">
        <v>207</v>
      </c>
      <c r="S110" s="32" t="s">
        <v>207</v>
      </c>
      <c r="T110" s="32">
        <v>-21000</v>
      </c>
      <c r="U110" s="32">
        <v>-21000</v>
      </c>
      <c r="V110" s="32">
        <v>-21000</v>
      </c>
      <c r="W110" s="32">
        <v>-21000</v>
      </c>
      <c r="X110" s="32" t="s">
        <v>207</v>
      </c>
    </row>
    <row r="111" spans="2:24" hidden="1" outlineLevel="1" x14ac:dyDescent="0.3">
      <c r="B111" s="30" t="s">
        <v>470</v>
      </c>
      <c r="L111" s="32">
        <v>250</v>
      </c>
      <c r="M111" s="32">
        <v>250</v>
      </c>
      <c r="N111" s="32">
        <v>563</v>
      </c>
      <c r="O111" s="32">
        <v>319</v>
      </c>
      <c r="P111" s="32">
        <v>261</v>
      </c>
      <c r="Q111" s="32">
        <v>518</v>
      </c>
      <c r="R111" s="32">
        <v>284</v>
      </c>
      <c r="S111" s="32">
        <v>228</v>
      </c>
      <c r="T111" s="32">
        <v>443</v>
      </c>
      <c r="U111" s="32">
        <v>244</v>
      </c>
      <c r="V111" s="32">
        <v>207</v>
      </c>
      <c r="W111" s="32">
        <v>466</v>
      </c>
      <c r="X111" s="32">
        <v>209</v>
      </c>
    </row>
    <row r="112" spans="2:24" hidden="1" outlineLevel="1" x14ac:dyDescent="0.3">
      <c r="B112" s="30" t="s">
        <v>451</v>
      </c>
      <c r="L112" s="32" t="s">
        <v>207</v>
      </c>
      <c r="M112" s="32" t="s">
        <v>207</v>
      </c>
      <c r="N112" s="32" t="s">
        <v>207</v>
      </c>
      <c r="O112" s="32" t="s">
        <v>207</v>
      </c>
      <c r="P112" s="32" t="s">
        <v>207</v>
      </c>
      <c r="Q112" s="32" t="s">
        <v>207</v>
      </c>
      <c r="R112" s="32" t="s">
        <v>207</v>
      </c>
      <c r="S112" s="32" t="s">
        <v>207</v>
      </c>
      <c r="T112" s="32" t="s">
        <v>207</v>
      </c>
      <c r="U112" s="32" t="s">
        <v>207</v>
      </c>
      <c r="V112" s="32" t="s">
        <v>207</v>
      </c>
      <c r="W112" s="32">
        <v>194</v>
      </c>
      <c r="X112" s="32">
        <v>62</v>
      </c>
    </row>
    <row r="113" spans="2:24" hidden="1" outlineLevel="1" x14ac:dyDescent="0.3">
      <c r="B113" s="30" t="s">
        <v>471</v>
      </c>
      <c r="L113" s="32" t="s">
        <v>207</v>
      </c>
      <c r="M113" s="32" t="s">
        <v>207</v>
      </c>
      <c r="N113" s="32" t="s">
        <v>207</v>
      </c>
      <c r="O113" s="32" t="s">
        <v>207</v>
      </c>
      <c r="P113" s="32" t="s">
        <v>207</v>
      </c>
      <c r="Q113" s="32">
        <v>189</v>
      </c>
      <c r="R113" s="32">
        <v>189</v>
      </c>
      <c r="S113" s="32" t="s">
        <v>207</v>
      </c>
      <c r="T113" s="32">
        <v>95</v>
      </c>
      <c r="U113" s="32">
        <v>95</v>
      </c>
      <c r="V113" s="32">
        <v>95</v>
      </c>
      <c r="W113" s="32">
        <v>230</v>
      </c>
      <c r="X113" s="32">
        <v>230</v>
      </c>
    </row>
    <row r="114" spans="2:24" hidden="1" outlineLevel="1" x14ac:dyDescent="0.3">
      <c r="B114" s="30" t="s">
        <v>298</v>
      </c>
      <c r="L114" s="32">
        <v>-17615</v>
      </c>
      <c r="M114" s="32">
        <v>12385</v>
      </c>
      <c r="N114" s="32">
        <v>-28930</v>
      </c>
      <c r="O114" s="32">
        <v>-18806</v>
      </c>
      <c r="P114" s="32">
        <v>-10691</v>
      </c>
      <c r="Q114" s="32">
        <v>-37092</v>
      </c>
      <c r="R114" s="32">
        <v>-26326</v>
      </c>
      <c r="S114" s="32">
        <v>-8718</v>
      </c>
      <c r="T114" s="32">
        <v>-60636</v>
      </c>
      <c r="U114" s="32">
        <v>-46483</v>
      </c>
      <c r="V114" s="32">
        <v>-28839</v>
      </c>
      <c r="W114" s="32">
        <v>-61889</v>
      </c>
      <c r="X114" s="32">
        <v>-14917</v>
      </c>
    </row>
    <row r="115" spans="2:24" hidden="1" outlineLevel="1" x14ac:dyDescent="0.3">
      <c r="B115" s="30" t="s">
        <v>472</v>
      </c>
      <c r="L115" s="32" t="s">
        <v>207</v>
      </c>
      <c r="M115" s="32" t="s">
        <v>207</v>
      </c>
      <c r="N115" s="32" t="s">
        <v>207</v>
      </c>
      <c r="O115" s="32" t="s">
        <v>207</v>
      </c>
      <c r="P115" s="32" t="s">
        <v>207</v>
      </c>
      <c r="Q115" s="32" t="s">
        <v>207</v>
      </c>
      <c r="R115" s="32">
        <v>-2</v>
      </c>
      <c r="S115" s="32">
        <v>-1</v>
      </c>
      <c r="T115" s="32" t="s">
        <v>207</v>
      </c>
      <c r="U115" s="32" t="s">
        <v>207</v>
      </c>
      <c r="V115" s="32" t="s">
        <v>207</v>
      </c>
      <c r="W115" s="32" t="s">
        <v>207</v>
      </c>
      <c r="X115" s="32" t="s">
        <v>207</v>
      </c>
    </row>
    <row r="116" spans="2:24" hidden="1" outlineLevel="1" x14ac:dyDescent="0.3">
      <c r="B116" s="30" t="s">
        <v>299</v>
      </c>
      <c r="L116" s="32">
        <v>25165</v>
      </c>
      <c r="M116" s="32">
        <v>17993</v>
      </c>
      <c r="N116" s="32">
        <v>-1838</v>
      </c>
      <c r="O116" s="32">
        <v>2939</v>
      </c>
      <c r="P116" s="32">
        <v>11894</v>
      </c>
      <c r="Q116" s="32">
        <v>-50934</v>
      </c>
      <c r="R116" s="32">
        <v>-39768</v>
      </c>
      <c r="S116" s="32">
        <v>-6152</v>
      </c>
      <c r="T116" s="32" t="s">
        <v>207</v>
      </c>
      <c r="U116" s="32" t="s">
        <v>207</v>
      </c>
      <c r="V116" s="32" t="s">
        <v>207</v>
      </c>
      <c r="W116" s="32" t="s">
        <v>207</v>
      </c>
      <c r="X116" s="32" t="s">
        <v>207</v>
      </c>
    </row>
    <row r="117" spans="2:24" hidden="1" outlineLevel="1" x14ac:dyDescent="0.3">
      <c r="B117" s="30" t="s">
        <v>473</v>
      </c>
      <c r="L117" s="32">
        <v>14401</v>
      </c>
      <c r="M117" s="32">
        <v>14401</v>
      </c>
      <c r="N117" s="32">
        <v>25209</v>
      </c>
      <c r="O117" s="32">
        <v>25209</v>
      </c>
      <c r="P117" s="32">
        <v>25209</v>
      </c>
      <c r="Q117" s="32">
        <v>81264</v>
      </c>
      <c r="R117" s="32">
        <v>81264</v>
      </c>
      <c r="S117" s="32">
        <v>81264</v>
      </c>
      <c r="T117" s="32" t="s">
        <v>207</v>
      </c>
      <c r="U117" s="32" t="s">
        <v>207</v>
      </c>
      <c r="V117" s="32" t="s">
        <v>207</v>
      </c>
      <c r="W117" s="32" t="s">
        <v>207</v>
      </c>
      <c r="X117" s="32" t="s">
        <v>207</v>
      </c>
    </row>
    <row r="118" spans="2:24" hidden="1" outlineLevel="1" x14ac:dyDescent="0.3">
      <c r="B118" s="30" t="s">
        <v>474</v>
      </c>
      <c r="L118" s="32">
        <v>39566</v>
      </c>
      <c r="M118" s="32">
        <v>32394</v>
      </c>
      <c r="N118" s="32">
        <v>23371</v>
      </c>
      <c r="O118" s="32">
        <v>28148</v>
      </c>
      <c r="P118" s="32">
        <v>37103</v>
      </c>
      <c r="Q118" s="32">
        <v>30330</v>
      </c>
      <c r="R118" s="32">
        <v>41494</v>
      </c>
      <c r="S118" s="32">
        <v>75111</v>
      </c>
      <c r="T118" s="32" t="s">
        <v>207</v>
      </c>
      <c r="U118" s="32" t="s">
        <v>207</v>
      </c>
      <c r="V118" s="32" t="s">
        <v>207</v>
      </c>
      <c r="W118" s="32" t="s">
        <v>207</v>
      </c>
      <c r="X118" s="32" t="s">
        <v>207</v>
      </c>
    </row>
    <row r="119" spans="2:24" hidden="1" outlineLevel="1" x14ac:dyDescent="0.3">
      <c r="B119" s="30" t="s">
        <v>475</v>
      </c>
      <c r="L119" s="32" t="s">
        <v>207</v>
      </c>
      <c r="M119" s="32" t="s">
        <v>207</v>
      </c>
      <c r="N119" s="32" t="s">
        <v>207</v>
      </c>
      <c r="O119" s="32" t="s">
        <v>207</v>
      </c>
      <c r="P119" s="32" t="s">
        <v>207</v>
      </c>
      <c r="Q119" s="32" t="s">
        <v>207</v>
      </c>
      <c r="R119" s="32" t="s">
        <v>207</v>
      </c>
      <c r="S119" s="32" t="s">
        <v>207</v>
      </c>
      <c r="T119" s="32">
        <v>31432</v>
      </c>
      <c r="U119" s="32">
        <v>30512</v>
      </c>
      <c r="V119" s="32">
        <v>5190</v>
      </c>
      <c r="W119" s="32">
        <v>-34281</v>
      </c>
      <c r="X119" s="32">
        <v>-11069</v>
      </c>
    </row>
    <row r="120" spans="2:24" hidden="1" outlineLevel="1" x14ac:dyDescent="0.3">
      <c r="B120" s="30" t="s">
        <v>408</v>
      </c>
      <c r="L120" s="32" t="s">
        <v>207</v>
      </c>
      <c r="M120" s="32" t="s">
        <v>207</v>
      </c>
      <c r="N120" s="32" t="s">
        <v>207</v>
      </c>
      <c r="O120" s="32" t="s">
        <v>207</v>
      </c>
      <c r="P120" s="32" t="s">
        <v>207</v>
      </c>
      <c r="Q120" s="32" t="s">
        <v>207</v>
      </c>
      <c r="R120" s="32" t="s">
        <v>207</v>
      </c>
      <c r="S120" s="32" t="s">
        <v>207</v>
      </c>
      <c r="T120" s="32">
        <v>47234</v>
      </c>
      <c r="U120" s="32">
        <v>47234</v>
      </c>
      <c r="V120" s="32">
        <v>47234</v>
      </c>
      <c r="W120" s="32">
        <v>67057</v>
      </c>
      <c r="X120" s="32">
        <v>67057</v>
      </c>
    </row>
    <row r="121" spans="2:24" hidden="1" outlineLevel="1" x14ac:dyDescent="0.3">
      <c r="B121" s="30" t="s">
        <v>409</v>
      </c>
      <c r="L121" s="32" t="s">
        <v>207</v>
      </c>
      <c r="M121" s="32" t="s">
        <v>207</v>
      </c>
      <c r="N121" s="32" t="s">
        <v>207</v>
      </c>
      <c r="O121" s="32" t="s">
        <v>207</v>
      </c>
      <c r="P121" s="32" t="s">
        <v>207</v>
      </c>
      <c r="Q121" s="32" t="s">
        <v>207</v>
      </c>
      <c r="R121" s="32" t="s">
        <v>207</v>
      </c>
      <c r="S121" s="32" t="s">
        <v>207</v>
      </c>
      <c r="T121" s="32">
        <v>78666</v>
      </c>
      <c r="U121" s="32">
        <v>77746</v>
      </c>
      <c r="V121" s="32">
        <v>52424</v>
      </c>
      <c r="W121" s="32">
        <v>32776</v>
      </c>
      <c r="X121" s="32">
        <v>55988</v>
      </c>
    </row>
    <row r="122" spans="2:24" collapsed="1" x14ac:dyDescent="0.3"/>
  </sheetData>
  <sheetProtection formatCells="0" formatColumns="0" formatRows="0" insertColumns="0" insertRows="0" insertHyperlinks="0" deleteColumns="0" deleteRows="0" sort="0" autoFilter="0" pivotTables="0"/>
  <dataValidations disablePrompts="1" count="1">
    <dataValidation type="list" allowBlank="1" showInputMessage="1" showErrorMessage="1" sqref="G8:G9" xr:uid="{3C1F6F7D-8E4E-4EEB-BC62-6F9BB5AB46A4}">
      <formula1>"TRUE,FALSE"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AE5EEF1-D758-4E5D-B167-06F72E9F585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CATO!L23:U23</xm:f>
              <xm:sqref>V23</xm:sqref>
            </x14:sparkline>
            <x14:sparkline>
              <xm:f>CATO!L24:U24</xm:f>
              <xm:sqref>V24</xm:sqref>
            </x14:sparkline>
          </x14:sparklines>
        </x14:sparklineGroup>
        <x14:sparklineGroup displayEmptyCellsAs="gap" xr2:uid="{916A6A52-4F68-4956-A503-4DCA338522C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CATO!L22:U22</xm:f>
              <xm:sqref>V22</xm:sqref>
            </x14:sparkline>
          </x14:sparklines>
        </x14:sparklineGroup>
        <x14:sparklineGroup displayEmptyCellsAs="gap" xr2:uid="{CA9E8484-0EA6-4C5C-9139-C9F19232326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CATO!L12:U12</xm:f>
              <xm:sqref>V12</xm:sqref>
            </x14:sparkline>
          </x14:sparklines>
        </x14:sparklineGroup>
        <x14:sparklineGroup displayEmptyCellsAs="gap" xr2:uid="{5B2D1475-9C6A-4AA6-8A09-6927CCBBF11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CATO!L11:U11</xm:f>
              <xm:sqref>V11</xm:sqref>
            </x14:sparkline>
            <x14:sparkline>
              <xm:f>CATO!L13:U13</xm:f>
              <xm:sqref>V13</xm:sqref>
            </x14:sparkline>
            <x14:sparkline>
              <xm:f>CATO!L15:U15</xm:f>
              <xm:sqref>V15</xm:sqref>
            </x14:sparkline>
            <x14:sparkline>
              <xm:f>CATO!L14:U14</xm:f>
              <xm:sqref>V14</xm:sqref>
            </x14:sparkline>
            <x14:sparkline>
              <xm:f>CATO!L16:U16</xm:f>
              <xm:sqref>V16</xm:sqref>
            </x14:sparkline>
            <x14:sparkline>
              <xm:f>CATO!L17:U17</xm:f>
              <xm:sqref>V17</xm:sqref>
            </x14:sparkline>
          </x14:sparklines>
        </x14:sparklineGroup>
        <x14:sparklineGroup displayEmptyCellsAs="gap" xr2:uid="{969C774B-A594-483F-B88D-18ACC40F720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CATO!L19:U19</xm:f>
              <xm:sqref>V19</xm:sqref>
            </x14:sparkline>
            <x14:sparkline>
              <xm:f>CATO!L20:U20</xm:f>
              <xm:sqref>V20</xm:sqref>
            </x14:sparkline>
            <x14:sparkline>
              <xm:f>CATO!L21:U21</xm:f>
              <xm:sqref>V21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DB7D-6586-46F2-9A25-D2A0E49297EC}">
  <sheetPr>
    <tabColor theme="4" tint="0.79998168889431442"/>
  </sheetPr>
  <dimension ref="B1:AB218"/>
  <sheetViews>
    <sheetView showGridLines="0" zoomScale="86" zoomScaleNormal="86" workbookViewId="0">
      <pane xSplit="3" ySplit="41" topLeftCell="D42" activePane="bottomRight" state="frozen"/>
      <selection activeCell="B1" sqref="B1:B1048576"/>
      <selection pane="topRight" activeCell="B1" sqref="B1:B1048576"/>
      <selection pane="bottomLeft" activeCell="B1" sqref="B1:B1048576"/>
      <selection pane="bottomRight"/>
    </sheetView>
  </sheetViews>
  <sheetFormatPr defaultColWidth="9.109375" defaultRowHeight="14.4" outlineLevelRow="2" outlineLevelCol="2" x14ac:dyDescent="0.3"/>
  <cols>
    <col min="1" max="1" width="2.6640625" style="24" customWidth="1"/>
    <col min="2" max="2" width="61.33203125" style="24" customWidth="1"/>
    <col min="3" max="3" width="2.6640625" customWidth="1"/>
    <col min="4" max="7" width="12.6640625" style="32" customWidth="1"/>
    <col min="8" max="10" width="12.6640625" style="32" hidden="1" customWidth="1" outlineLevel="2"/>
    <col min="11" max="11" width="2.6640625" customWidth="1" collapsed="1"/>
    <col min="12" max="24" width="12.6640625" style="32" customWidth="1"/>
    <col min="25" max="25" width="12" style="32" customWidth="1"/>
    <col min="26" max="27" width="2.6640625" style="24" customWidth="1"/>
    <col min="28" max="194" width="12" style="24" customWidth="1"/>
    <col min="195" max="16384" width="9.109375" style="24"/>
  </cols>
  <sheetData>
    <row r="1" spans="2:28" ht="6.9" customHeight="1" x14ac:dyDescent="0.3"/>
    <row r="3" spans="2:28" x14ac:dyDescent="0.3">
      <c r="Z3" s="32"/>
      <c r="AA3" s="32"/>
      <c r="AB3" s="32"/>
    </row>
    <row r="5" spans="2:28" ht="6.9" customHeight="1" x14ac:dyDescent="0.3"/>
    <row r="6" spans="2:28" s="36" customFormat="1" ht="22.8" x14ac:dyDescent="0.4">
      <c r="B6" s="37" t="s">
        <v>476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spans="2:28" s="58" customFormat="1" ht="6.9" customHeight="1" x14ac:dyDescent="0.3">
      <c r="C7" s="3"/>
      <c r="D7" s="59"/>
      <c r="E7" s="59"/>
      <c r="F7" s="59"/>
      <c r="G7" s="59"/>
      <c r="H7" s="59"/>
      <c r="I7" s="59"/>
      <c r="J7" s="59"/>
      <c r="K7" s="3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2:28" s="58" customFormat="1" x14ac:dyDescent="0.3">
      <c r="C8" s="3"/>
      <c r="D8" s="59"/>
      <c r="E8" s="59"/>
      <c r="F8" s="179" t="s">
        <v>411</v>
      </c>
      <c r="G8" s="176" t="b">
        <v>1</v>
      </c>
      <c r="H8" s="59"/>
      <c r="I8" s="59"/>
      <c r="J8" s="59"/>
      <c r="K8" s="3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 spans="2:28" s="58" customFormat="1" ht="6.9" customHeight="1" x14ac:dyDescent="0.3">
      <c r="C9" s="3"/>
      <c r="D9" s="59"/>
      <c r="E9" s="59"/>
      <c r="F9" s="59"/>
      <c r="G9" s="59"/>
      <c r="H9" s="59"/>
      <c r="I9" s="59"/>
      <c r="J9" s="59"/>
      <c r="K9" s="3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 spans="2:28" s="27" customFormat="1" hidden="1" outlineLevel="1" x14ac:dyDescent="0.3">
      <c r="B10" s="56" t="s">
        <v>183</v>
      </c>
      <c r="C10"/>
      <c r="D10" s="63">
        <f>D40</f>
        <v>44469</v>
      </c>
      <c r="E10" s="63">
        <f t="shared" ref="E10:G10" si="0">E40</f>
        <v>44377</v>
      </c>
      <c r="F10" s="63">
        <f t="shared" si="0"/>
        <v>44286</v>
      </c>
      <c r="G10" s="63">
        <f t="shared" si="0"/>
        <v>44104</v>
      </c>
      <c r="H10" s="132" t="s">
        <v>184</v>
      </c>
      <c r="I10" s="114" t="s">
        <v>185</v>
      </c>
      <c r="J10" s="96" t="s">
        <v>186</v>
      </c>
      <c r="K10"/>
      <c r="L10" s="63">
        <f t="shared" ref="L10:V10" si="1">L40</f>
        <v>44012</v>
      </c>
      <c r="M10" s="63">
        <f t="shared" si="1"/>
        <v>43921</v>
      </c>
      <c r="N10" s="63">
        <f t="shared" si="1"/>
        <v>43738</v>
      </c>
      <c r="O10" s="63">
        <f t="shared" si="1"/>
        <v>43646</v>
      </c>
      <c r="P10" s="63">
        <f t="shared" si="1"/>
        <v>43555</v>
      </c>
      <c r="Q10" s="63">
        <f t="shared" si="1"/>
        <v>43373</v>
      </c>
      <c r="R10" s="63">
        <f t="shared" si="1"/>
        <v>43281</v>
      </c>
      <c r="S10" s="63">
        <f t="shared" si="1"/>
        <v>43190</v>
      </c>
      <c r="T10" s="63">
        <f t="shared" si="1"/>
        <v>43008</v>
      </c>
      <c r="U10" s="63">
        <f t="shared" si="1"/>
        <v>42916</v>
      </c>
      <c r="V10" s="63">
        <f t="shared" si="1"/>
        <v>42825</v>
      </c>
      <c r="W10" s="63" t="s">
        <v>187</v>
      </c>
      <c r="X10"/>
      <c r="Y10"/>
    </row>
    <row r="11" spans="2:28" hidden="1" outlineLevel="2" x14ac:dyDescent="0.3">
      <c r="B11" s="30" t="str">
        <f>B43 &amp; " growth % YoY"</f>
        <v>New vehicle retail sales growth % YoY</v>
      </c>
      <c r="D11" s="81">
        <f t="shared" ref="D11:G15" si="2">IF($G$8, AVERAGE($N11:$Q11), AVERAGE($L11:$M11))</f>
        <v>-2.1450570338960473E-2</v>
      </c>
      <c r="E11" s="81">
        <f t="shared" si="2"/>
        <v>-2.1450570338960473E-2</v>
      </c>
      <c r="F11" s="81">
        <f t="shared" si="2"/>
        <v>-2.1450570338960473E-2</v>
      </c>
      <c r="G11" s="81">
        <f t="shared" si="2"/>
        <v>-2.1450570338960473E-2</v>
      </c>
      <c r="H11" s="188"/>
      <c r="I11" s="188"/>
      <c r="J11" s="188"/>
      <c r="L11" s="60">
        <f>IFERROR(L43 / O43 - 1, 0)</f>
        <v>-0.32112113710772183</v>
      </c>
      <c r="M11" s="60">
        <f t="shared" ref="M11:V11" si="3">IFERROR(M43 / P43 - 1, 0)</f>
        <v>-5.1103405126247337E-2</v>
      </c>
      <c r="N11" s="60">
        <f t="shared" si="3"/>
        <v>7.3206980457265924E-2</v>
      </c>
      <c r="O11" s="60">
        <f t="shared" si="3"/>
        <v>6.3031557564108276E-3</v>
      </c>
      <c r="P11" s="60">
        <f t="shared" si="3"/>
        <v>-6.5476780369849163E-2</v>
      </c>
      <c r="Q11" s="60">
        <f t="shared" si="3"/>
        <v>-9.983563719966948E-2</v>
      </c>
      <c r="R11" s="60">
        <f t="shared" si="3"/>
        <v>7.3719187613199733E-2</v>
      </c>
      <c r="S11" s="60">
        <f t="shared" si="3"/>
        <v>0.13189895700984056</v>
      </c>
      <c r="T11" s="60">
        <f t="shared" si="3"/>
        <v>7.7010514171713007E-2</v>
      </c>
      <c r="U11" s="60">
        <f t="shared" si="3"/>
        <v>-5.970498955384973E-2</v>
      </c>
      <c r="V11" s="60">
        <f t="shared" si="3"/>
        <v>-5.1521756554416043E-2</v>
      </c>
      <c r="W11"/>
      <c r="X11"/>
      <c r="Y11"/>
    </row>
    <row r="12" spans="2:28" hidden="1" outlineLevel="2" x14ac:dyDescent="0.3">
      <c r="B12" s="30" t="str">
        <f>B44 &amp; " growth % YoY"</f>
        <v>Used vehicle retail sales growth % YoY</v>
      </c>
      <c r="D12" s="81">
        <f t="shared" si="2"/>
        <v>5.8553705425445746E-2</v>
      </c>
      <c r="E12" s="81">
        <f t="shared" si="2"/>
        <v>5.8553705425445746E-2</v>
      </c>
      <c r="F12" s="81">
        <f t="shared" si="2"/>
        <v>5.8553705425445746E-2</v>
      </c>
      <c r="G12" s="81">
        <f t="shared" si="2"/>
        <v>5.8553705425445746E-2</v>
      </c>
      <c r="H12" s="188"/>
      <c r="I12" s="188"/>
      <c r="J12" s="188"/>
      <c r="L12" s="60">
        <f t="shared" ref="L12:L15" si="4">IFERROR(L44 / O44 - 1, 0)</f>
        <v>-0.23566210829471113</v>
      </c>
      <c r="M12" s="60">
        <f t="shared" ref="M12:M15" si="5">IFERROR(M44 / P44 - 1, 0)</f>
        <v>-4.9075748013618137E-2</v>
      </c>
      <c r="N12" s="60">
        <f t="shared" ref="N12:N15" si="6">IFERROR(N44 / Q44 - 1, 0)</f>
        <v>9.7544816097828724E-2</v>
      </c>
      <c r="O12" s="60">
        <f t="shared" ref="O12:O15" si="7">IFERROR(O44 / R44 - 1, 0)</f>
        <v>2.0737285134932781E-2</v>
      </c>
      <c r="P12" s="60">
        <f t="shared" ref="P12:P15" si="8">IFERROR(P44 / S44 - 1, 0)</f>
        <v>4.9493318984844326E-2</v>
      </c>
      <c r="Q12" s="60">
        <f t="shared" ref="Q12:Q15" si="9">IFERROR(Q44 / T44 - 1, 0)</f>
        <v>6.6439401484177152E-2</v>
      </c>
      <c r="R12" s="60">
        <f t="shared" ref="R12:R15" si="10">IFERROR(R44 / U44 - 1, 0)</f>
        <v>0.19812551662004019</v>
      </c>
      <c r="S12" s="60">
        <f t="shared" ref="S12:S15" si="11">IFERROR(S44 / V44 - 1, 0)</f>
        <v>0.18102301767063533</v>
      </c>
      <c r="T12" s="60">
        <f t="shared" ref="T12:T15" si="12">IFERROR(T44 / W44 - 1, 0)</f>
        <v>5.7524693290825768E-2</v>
      </c>
      <c r="U12" s="60">
        <f t="shared" ref="U12:U15" si="13">IFERROR(U44 / X44 - 1, 0)</f>
        <v>-4.1673535649321414E-2</v>
      </c>
      <c r="V12" s="60">
        <f t="shared" ref="V12:V15" si="14">IFERROR(V44 / Y44 - 1, 0)</f>
        <v>-3.9588997502074341E-2</v>
      </c>
      <c r="W12"/>
      <c r="X12"/>
      <c r="Y12"/>
    </row>
    <row r="13" spans="2:28" hidden="1" outlineLevel="2" x14ac:dyDescent="0.3">
      <c r="B13" s="30" t="str">
        <f>B45 &amp; " growth % YoY"</f>
        <v>Used vehicle wholesale sales growth % YoY</v>
      </c>
      <c r="D13" s="81">
        <f t="shared" si="2"/>
        <v>-6.7324987687640503E-2</v>
      </c>
      <c r="E13" s="81">
        <f t="shared" si="2"/>
        <v>-6.7324987687640503E-2</v>
      </c>
      <c r="F13" s="81">
        <f t="shared" si="2"/>
        <v>-6.7324987687640503E-2</v>
      </c>
      <c r="G13" s="81">
        <f t="shared" si="2"/>
        <v>-6.7324987687640503E-2</v>
      </c>
      <c r="H13" s="188"/>
      <c r="I13" s="188"/>
      <c r="J13" s="188"/>
      <c r="L13" s="60">
        <f t="shared" si="4"/>
        <v>-0.4926871952998042</v>
      </c>
      <c r="M13" s="60">
        <f t="shared" si="5"/>
        <v>-6.1190822461959282E-2</v>
      </c>
      <c r="N13" s="60">
        <f t="shared" si="6"/>
        <v>-1.4670209079357788E-2</v>
      </c>
      <c r="O13" s="60">
        <f t="shared" si="7"/>
        <v>3.3838068365390939E-2</v>
      </c>
      <c r="P13" s="60">
        <f t="shared" si="8"/>
        <v>-0.11430466504532388</v>
      </c>
      <c r="Q13" s="60">
        <f t="shared" si="9"/>
        <v>-0.17416314499127128</v>
      </c>
      <c r="R13" s="60">
        <f t="shared" si="10"/>
        <v>-6.5638930537247009E-2</v>
      </c>
      <c r="S13" s="60">
        <f t="shared" si="11"/>
        <v>-1.2289140432232282E-3</v>
      </c>
      <c r="T13" s="60">
        <f t="shared" si="12"/>
        <v>5.8435203131896873E-3</v>
      </c>
      <c r="U13" s="60">
        <f t="shared" si="13"/>
        <v>3.2177318002887478E-2</v>
      </c>
      <c r="V13" s="60">
        <f t="shared" si="14"/>
        <v>2.524805102764005E-2</v>
      </c>
      <c r="W13"/>
      <c r="X13"/>
      <c r="Y13"/>
    </row>
    <row r="14" spans="2:28" hidden="1" outlineLevel="2" x14ac:dyDescent="0.3">
      <c r="B14" s="30" t="str">
        <f>B46 &amp; " growth % YoY"</f>
        <v>Parts &amp; service sales growth % YoY</v>
      </c>
      <c r="D14" s="81">
        <f t="shared" si="2"/>
        <v>5.6737529162455336E-2</v>
      </c>
      <c r="E14" s="81">
        <f t="shared" si="2"/>
        <v>5.6737529162455336E-2</v>
      </c>
      <c r="F14" s="81">
        <f t="shared" si="2"/>
        <v>5.6737529162455336E-2</v>
      </c>
      <c r="G14" s="81">
        <f t="shared" si="2"/>
        <v>5.6737529162455336E-2</v>
      </c>
      <c r="H14" s="188"/>
      <c r="I14" s="188"/>
      <c r="J14" s="188"/>
      <c r="L14" s="60">
        <f t="shared" si="4"/>
        <v>-0.25429770445332356</v>
      </c>
      <c r="M14" s="60">
        <f t="shared" si="5"/>
        <v>3.8626772199559234E-3</v>
      </c>
      <c r="N14" s="60">
        <f t="shared" si="6"/>
        <v>8.1802308032981497E-2</v>
      </c>
      <c r="O14" s="60">
        <f t="shared" si="7"/>
        <v>5.5951905598262019E-2</v>
      </c>
      <c r="P14" s="60">
        <f t="shared" si="8"/>
        <v>5.6246513025192124E-2</v>
      </c>
      <c r="Q14" s="60">
        <f t="shared" si="9"/>
        <v>3.2949389993385703E-2</v>
      </c>
      <c r="R14" s="60">
        <f t="shared" si="10"/>
        <v>7.9902059819498161E-2</v>
      </c>
      <c r="S14" s="60">
        <f t="shared" si="11"/>
        <v>9.326614492427221E-2</v>
      </c>
      <c r="T14" s="60">
        <f t="shared" si="12"/>
        <v>7.3565109673544571E-2</v>
      </c>
      <c r="U14" s="60">
        <f t="shared" si="13"/>
        <v>2.9676501911057418E-2</v>
      </c>
      <c r="V14" s="60">
        <f t="shared" si="14"/>
        <v>3.598926738217445E-2</v>
      </c>
      <c r="W14"/>
      <c r="X14"/>
      <c r="Y14"/>
    </row>
    <row r="15" spans="2:28" hidden="1" outlineLevel="2" x14ac:dyDescent="0.3">
      <c r="B15" s="30" t="str">
        <f>B47 &amp; " growth % YoY"</f>
        <v>Finance, insurance &amp; other revenues, net growth % YoY</v>
      </c>
      <c r="D15" s="81">
        <f t="shared" si="2"/>
        <v>6.512053716321986E-2</v>
      </c>
      <c r="E15" s="81">
        <f t="shared" si="2"/>
        <v>6.512053716321986E-2</v>
      </c>
      <c r="F15" s="81">
        <f t="shared" si="2"/>
        <v>6.512053716321986E-2</v>
      </c>
      <c r="G15" s="81">
        <f t="shared" si="2"/>
        <v>6.512053716321986E-2</v>
      </c>
      <c r="H15" s="188"/>
      <c r="I15" s="188"/>
      <c r="J15" s="188"/>
      <c r="L15" s="60">
        <f t="shared" si="4"/>
        <v>-0.24010844367608342</v>
      </c>
      <c r="M15" s="60">
        <f t="shared" si="5"/>
        <v>-7.7265029635902316E-3</v>
      </c>
      <c r="N15" s="60">
        <f t="shared" si="6"/>
        <v>9.9204024671789348E-2</v>
      </c>
      <c r="O15" s="60">
        <f t="shared" si="7"/>
        <v>0.1060266305103601</v>
      </c>
      <c r="P15" s="60">
        <f t="shared" si="8"/>
        <v>9.3837360445860885E-3</v>
      </c>
      <c r="Q15" s="60">
        <f t="shared" si="9"/>
        <v>4.5867757426143907E-2</v>
      </c>
      <c r="R15" s="60">
        <f t="shared" si="10"/>
        <v>8.0642434488588322E-2</v>
      </c>
      <c r="S15" s="60">
        <f t="shared" si="11"/>
        <v>0.15994382138505081</v>
      </c>
      <c r="T15" s="60">
        <f t="shared" si="12"/>
        <v>2.1000827890718332E-2</v>
      </c>
      <c r="U15" s="60">
        <f t="shared" si="13"/>
        <v>-1.0133878765340221E-2</v>
      </c>
      <c r="V15" s="60">
        <f t="shared" si="14"/>
        <v>-3.3100679986819648E-2</v>
      </c>
      <c r="W15"/>
      <c r="X15"/>
      <c r="Y15"/>
    </row>
    <row r="16" spans="2:28" customFormat="1" ht="6.9" hidden="1" customHeight="1" outlineLevel="2" x14ac:dyDescent="0.3"/>
    <row r="17" spans="2:25" hidden="1" outlineLevel="2" x14ac:dyDescent="0.3">
      <c r="B17" s="30" t="str">
        <f>B49 &amp; " growth % YoY"</f>
        <v>Cost of New vehicle retail sales growth % YoY</v>
      </c>
      <c r="D17" s="80">
        <f t="shared" ref="D17:G20" si="15">IF($G$8, AVERAGE($N17:$Q17), AVERAGE($L17:$M17))</f>
        <v>0.95226939707793767</v>
      </c>
      <c r="E17" s="80">
        <f t="shared" si="15"/>
        <v>0.95226939707793767</v>
      </c>
      <c r="F17" s="80">
        <f t="shared" si="15"/>
        <v>0.95226939707793767</v>
      </c>
      <c r="G17" s="80">
        <f t="shared" si="15"/>
        <v>0.95226939707793767</v>
      </c>
      <c r="H17" s="188"/>
      <c r="I17" s="188"/>
      <c r="J17" s="188"/>
      <c r="L17" s="60">
        <f>L49 / L43</f>
        <v>0.93996424202503059</v>
      </c>
      <c r="M17" s="60">
        <f t="shared" ref="M17:V17" si="16">M49 / M43</f>
        <v>0.95321114587989864</v>
      </c>
      <c r="N17" s="60">
        <f t="shared" si="16"/>
        <v>0.95448492918532868</v>
      </c>
      <c r="O17" s="60">
        <f t="shared" si="16"/>
        <v>0.95547137267427928</v>
      </c>
      <c r="P17" s="60">
        <f t="shared" si="16"/>
        <v>0.94952862702679774</v>
      </c>
      <c r="Q17" s="60">
        <f t="shared" si="16"/>
        <v>0.9495926594253451</v>
      </c>
      <c r="R17" s="60">
        <f t="shared" si="16"/>
        <v>0.95076917142912243</v>
      </c>
      <c r="S17" s="60">
        <f t="shared" si="16"/>
        <v>0.95016682192667767</v>
      </c>
      <c r="T17" s="60">
        <f t="shared" si="16"/>
        <v>0.94835113881610833</v>
      </c>
      <c r="U17" s="60">
        <f t="shared" si="16"/>
        <v>0.94829330852144722</v>
      </c>
      <c r="V17" s="60">
        <f t="shared" si="16"/>
        <v>0.94823038663249615</v>
      </c>
      <c r="W17"/>
      <c r="X17"/>
      <c r="Y17"/>
    </row>
    <row r="18" spans="2:25" hidden="1" outlineLevel="2" x14ac:dyDescent="0.3">
      <c r="B18" s="30" t="str">
        <f t="shared" ref="B18:B20" si="17">B50 &amp; " growth % YoY"</f>
        <v>Cost of Used vehicle retail sales growth % YoY</v>
      </c>
      <c r="D18" s="80">
        <f t="shared" si="15"/>
        <v>0.93812456878455719</v>
      </c>
      <c r="E18" s="80">
        <f t="shared" si="15"/>
        <v>0.93812456878455719</v>
      </c>
      <c r="F18" s="80">
        <f t="shared" si="15"/>
        <v>0.93812456878455719</v>
      </c>
      <c r="G18" s="80">
        <f t="shared" si="15"/>
        <v>0.93812456878455719</v>
      </c>
      <c r="H18" s="188"/>
      <c r="I18" s="188"/>
      <c r="J18" s="188"/>
      <c r="L18" s="60">
        <f t="shared" ref="L18:V18" si="18">L50 / L44</f>
        <v>0.92779164067373676</v>
      </c>
      <c r="M18" s="60">
        <f t="shared" si="18"/>
        <v>0.94595635430038516</v>
      </c>
      <c r="N18" s="60">
        <f t="shared" si="18"/>
        <v>0.93767965965275379</v>
      </c>
      <c r="O18" s="60">
        <f t="shared" si="18"/>
        <v>0.93647365108428215</v>
      </c>
      <c r="P18" s="60">
        <f t="shared" si="18"/>
        <v>0.941639618018977</v>
      </c>
      <c r="Q18" s="60">
        <f t="shared" si="18"/>
        <v>0.93670534638221614</v>
      </c>
      <c r="R18" s="60">
        <f t="shared" si="18"/>
        <v>0.93768471977348744</v>
      </c>
      <c r="S18" s="60">
        <f t="shared" si="18"/>
        <v>0.94427789948371066</v>
      </c>
      <c r="T18" s="60">
        <f t="shared" si="18"/>
        <v>0.93658063248447587</v>
      </c>
      <c r="U18" s="60">
        <f t="shared" si="18"/>
        <v>0.93452428679100052</v>
      </c>
      <c r="V18" s="60">
        <f t="shared" si="18"/>
        <v>0.93190624683210099</v>
      </c>
      <c r="W18"/>
      <c r="X18"/>
      <c r="Y18"/>
    </row>
    <row r="19" spans="2:25" hidden="1" outlineLevel="2" x14ac:dyDescent="0.3">
      <c r="B19" s="30" t="str">
        <f t="shared" si="17"/>
        <v>Cost of Used vehicle wholesale sales growth % YoY</v>
      </c>
      <c r="D19" s="80">
        <f t="shared" si="15"/>
        <v>0.99875293737256887</v>
      </c>
      <c r="E19" s="80">
        <f t="shared" si="15"/>
        <v>0.99875293737256887</v>
      </c>
      <c r="F19" s="80">
        <f t="shared" si="15"/>
        <v>0.99875293737256887</v>
      </c>
      <c r="G19" s="80">
        <f t="shared" si="15"/>
        <v>0.99875293737256887</v>
      </c>
      <c r="H19" s="188"/>
      <c r="I19" s="188"/>
      <c r="J19" s="188"/>
      <c r="L19" s="60">
        <f t="shared" ref="L19:V19" si="19">L51 / L45</f>
        <v>0.95687885010266938</v>
      </c>
      <c r="M19" s="60">
        <f t="shared" si="19"/>
        <v>0.98843930635838151</v>
      </c>
      <c r="N19" s="60">
        <f t="shared" si="19"/>
        <v>0.99531066822977721</v>
      </c>
      <c r="O19" s="60">
        <f t="shared" si="19"/>
        <v>1.0009687903662652</v>
      </c>
      <c r="P19" s="60">
        <f t="shared" si="19"/>
        <v>0.99510516833445484</v>
      </c>
      <c r="Q19" s="60">
        <f t="shared" si="19"/>
        <v>1.0036271225597782</v>
      </c>
      <c r="R19" s="60">
        <f t="shared" si="19"/>
        <v>0.99740452753785513</v>
      </c>
      <c r="S19" s="60">
        <f t="shared" si="19"/>
        <v>0.98409097463207373</v>
      </c>
      <c r="T19" s="60">
        <f t="shared" si="19"/>
        <v>1.0017648125005962</v>
      </c>
      <c r="U19" s="60">
        <f t="shared" si="19"/>
        <v>1.0026867383801081</v>
      </c>
      <c r="V19" s="60">
        <f t="shared" si="19"/>
        <v>0.9990399109037319</v>
      </c>
      <c r="W19"/>
      <c r="X19"/>
      <c r="Y19"/>
    </row>
    <row r="20" spans="2:25" hidden="1" outlineLevel="2" x14ac:dyDescent="0.3">
      <c r="B20" s="30" t="str">
        <f t="shared" si="17"/>
        <v>Cost of Parts &amp; service sales growth % YoY</v>
      </c>
      <c r="D20" s="80">
        <f t="shared" si="15"/>
        <v>0.45984591828992777</v>
      </c>
      <c r="E20" s="80">
        <f t="shared" si="15"/>
        <v>0.45984591828992777</v>
      </c>
      <c r="F20" s="80">
        <f t="shared" si="15"/>
        <v>0.45984591828992777</v>
      </c>
      <c r="G20" s="80">
        <f t="shared" si="15"/>
        <v>0.45984591828992777</v>
      </c>
      <c r="H20" s="188"/>
      <c r="I20" s="188"/>
      <c r="J20" s="188"/>
      <c r="L20" s="60">
        <f t="shared" ref="L20:V20" si="20">L52 / L46</f>
        <v>0.46808510638297873</v>
      </c>
      <c r="M20" s="60">
        <f t="shared" si="20"/>
        <v>0.4657312466270912</v>
      </c>
      <c r="N20" s="60">
        <f t="shared" si="20"/>
        <v>0.45710560625814861</v>
      </c>
      <c r="O20" s="60">
        <f t="shared" si="20"/>
        <v>0.46030457443404632</v>
      </c>
      <c r="P20" s="60">
        <f t="shared" si="20"/>
        <v>0.46237817397758241</v>
      </c>
      <c r="Q20" s="60">
        <f t="shared" si="20"/>
        <v>0.45959531848993374</v>
      </c>
      <c r="R20" s="60">
        <f t="shared" si="20"/>
        <v>0.45530800354062362</v>
      </c>
      <c r="S20" s="60">
        <f t="shared" si="20"/>
        <v>0.4653620016308313</v>
      </c>
      <c r="T20" s="60">
        <f t="shared" si="20"/>
        <v>0.46048724770027361</v>
      </c>
      <c r="U20" s="60">
        <f t="shared" si="20"/>
        <v>0.46065054231962632</v>
      </c>
      <c r="V20" s="60">
        <f t="shared" si="20"/>
        <v>0.46087870427716154</v>
      </c>
      <c r="W20"/>
      <c r="X20"/>
      <c r="Y20"/>
    </row>
    <row r="21" spans="2:25" customFormat="1" hidden="1" outlineLevel="1" x14ac:dyDescent="0.3"/>
    <row r="22" spans="2:25" hidden="1" outlineLevel="2" x14ac:dyDescent="0.3">
      <c r="B22" s="30" t="s">
        <v>190</v>
      </c>
      <c r="D22" s="81">
        <f t="shared" ref="D22:G24" si="21">IF($G$8, AVERAGE($N22:$Q22), AVERAGE($L22:$M22))</f>
        <v>9.8775413599633856E-3</v>
      </c>
      <c r="E22" s="81">
        <f t="shared" si="21"/>
        <v>9.8775413599633856E-3</v>
      </c>
      <c r="F22" s="81">
        <f t="shared" si="21"/>
        <v>9.8775413599633856E-3</v>
      </c>
      <c r="G22" s="81">
        <f t="shared" si="21"/>
        <v>9.8775413599633856E-3</v>
      </c>
      <c r="H22" s="188"/>
      <c r="I22" s="188"/>
      <c r="J22" s="188"/>
      <c r="L22" s="81">
        <f t="shared" ref="L22:V22" si="22">L60 / L109</f>
        <v>9.5407257041360063E-3</v>
      </c>
      <c r="M22" s="81">
        <f t="shared" si="22"/>
        <v>9.5155266792858236E-3</v>
      </c>
      <c r="N22" s="81">
        <f t="shared" si="22"/>
        <v>9.6499222645150921E-3</v>
      </c>
      <c r="O22" s="81">
        <f t="shared" si="22"/>
        <v>9.9682716119650506E-3</v>
      </c>
      <c r="P22" s="81">
        <f t="shared" si="22"/>
        <v>9.8256790309014345E-3</v>
      </c>
      <c r="Q22" s="81">
        <f t="shared" si="22"/>
        <v>1.006629253247196E-2</v>
      </c>
      <c r="R22" s="81">
        <f t="shared" si="22"/>
        <v>9.9038543958398818E-3</v>
      </c>
      <c r="S22" s="81">
        <f t="shared" si="22"/>
        <v>9.7326412132271497E-3</v>
      </c>
      <c r="T22" s="81">
        <f t="shared" si="22"/>
        <v>9.5833328030118861E-3</v>
      </c>
      <c r="U22" s="81">
        <f t="shared" si="22"/>
        <v>9.6642772844567175E-3</v>
      </c>
      <c r="V22" s="81">
        <f t="shared" si="22"/>
        <v>9.5172875940204623E-3</v>
      </c>
      <c r="W22"/>
      <c r="X22"/>
      <c r="Y22"/>
    </row>
    <row r="23" spans="2:25" hidden="1" outlineLevel="2" x14ac:dyDescent="0.3">
      <c r="B23" s="30" t="str">
        <f>B63 &amp; " as % of related liability"</f>
        <v>Floorplan interest expense as % of related liability</v>
      </c>
      <c r="D23" s="81">
        <f t="shared" si="21"/>
        <v>9.5987610403506732E-3</v>
      </c>
      <c r="E23" s="81">
        <f t="shared" si="21"/>
        <v>9.5987610403506732E-3</v>
      </c>
      <c r="F23" s="81">
        <f t="shared" si="21"/>
        <v>9.5987610403506732E-3</v>
      </c>
      <c r="G23" s="81">
        <f t="shared" si="21"/>
        <v>9.5987610403506732E-3</v>
      </c>
      <c r="H23" s="188"/>
      <c r="I23" s="188"/>
      <c r="J23" s="188"/>
      <c r="L23" s="81">
        <f t="shared" ref="L23:V23" si="23">L63 / SUM(L120, L122)</f>
        <v>9.5798159916532302E-3</v>
      </c>
      <c r="M23" s="81">
        <f t="shared" si="23"/>
        <v>7.8016328999092836E-3</v>
      </c>
      <c r="N23" s="81">
        <f t="shared" si="23"/>
        <v>9.5634353847109232E-3</v>
      </c>
      <c r="O23" s="81">
        <f t="shared" si="23"/>
        <v>1.0243754188450895E-2</v>
      </c>
      <c r="P23" s="81">
        <f t="shared" si="23"/>
        <v>9.2382163176915697E-3</v>
      </c>
      <c r="Q23" s="81">
        <f t="shared" si="23"/>
        <v>9.3496382705493073E-3</v>
      </c>
      <c r="R23" s="81">
        <f t="shared" si="23"/>
        <v>9.3826206007892408E-3</v>
      </c>
      <c r="S23" s="81">
        <f t="shared" si="23"/>
        <v>8.6953784313628657E-3</v>
      </c>
      <c r="T23" s="81">
        <f t="shared" si="23"/>
        <v>9.1334927908977848E-3</v>
      </c>
      <c r="U23" s="81">
        <f t="shared" si="23"/>
        <v>8.0415734634155835E-3</v>
      </c>
      <c r="V23" s="81">
        <f t="shared" si="23"/>
        <v>7.6415546487617189E-3</v>
      </c>
      <c r="W23"/>
      <c r="X23"/>
      <c r="Y23"/>
    </row>
    <row r="24" spans="2:25" hidden="1" outlineLevel="2" x14ac:dyDescent="0.3">
      <c r="B24" s="30" t="str">
        <f>B64 &amp; " as % of debt"</f>
        <v>Other interest expense, net as % of debt</v>
      </c>
      <c r="D24" s="81">
        <f t="shared" si="21"/>
        <v>1.3716014739644825E-2</v>
      </c>
      <c r="E24" s="81">
        <f t="shared" si="21"/>
        <v>1.3716014739644825E-2</v>
      </c>
      <c r="F24" s="81">
        <f t="shared" si="21"/>
        <v>1.3716014739644825E-2</v>
      </c>
      <c r="G24" s="81">
        <f t="shared" si="21"/>
        <v>1.3716014739644825E-2</v>
      </c>
      <c r="H24" s="188"/>
      <c r="I24" s="188"/>
      <c r="J24" s="188"/>
      <c r="L24" s="81">
        <f>L64 / L140</f>
        <v>1.1387600168705188E-2</v>
      </c>
      <c r="M24" s="81">
        <f t="shared" ref="M24:V24" si="24">M64 / M140</f>
        <v>1.2068275770102681E-2</v>
      </c>
      <c r="N24" s="81">
        <f t="shared" si="24"/>
        <v>1.3731473408892764E-2</v>
      </c>
      <c r="O24" s="81">
        <f t="shared" si="24"/>
        <v>1.3136415099307524E-2</v>
      </c>
      <c r="P24" s="81">
        <f t="shared" si="24"/>
        <v>1.4117403006747908E-2</v>
      </c>
      <c r="Q24" s="81">
        <f t="shared" si="24"/>
        <v>1.3878767443631103E-2</v>
      </c>
      <c r="R24" s="81">
        <f t="shared" si="24"/>
        <v>1.3675057143762789E-2</v>
      </c>
      <c r="S24" s="81">
        <f t="shared" si="24"/>
        <v>1.3115302463823159E-2</v>
      </c>
      <c r="T24" s="81">
        <f t="shared" si="24"/>
        <v>1.3385234754581563E-2</v>
      </c>
      <c r="U24" s="81">
        <f t="shared" si="24"/>
        <v>1.3276673922894843E-2</v>
      </c>
      <c r="V24" s="81">
        <f t="shared" si="24"/>
        <v>1.3452737357837748E-2</v>
      </c>
      <c r="W24"/>
      <c r="X24"/>
      <c r="Y24"/>
    </row>
    <row r="25" spans="2:25" hidden="1" outlineLevel="2" x14ac:dyDescent="0.3">
      <c r="B25" s="30" t="s">
        <v>191</v>
      </c>
      <c r="D25" s="81">
        <f>IF($G$8, AVERAGE($N25:$Q25), AVERAGE($L25:$M25))</f>
        <v>0.23034743912663247</v>
      </c>
      <c r="E25" s="81">
        <f>IF($G$8, AVERAGE($N25:$Q25), AVERAGE($L25:$M25))</f>
        <v>0.23034743912663247</v>
      </c>
      <c r="F25" s="81">
        <f>IF($G$8, AVERAGE($N25:$Q25), AVERAGE($L25:$M25))</f>
        <v>0.23034743912663247</v>
      </c>
      <c r="G25" s="81">
        <f>IF($G$8, AVERAGE($N25:$Q25), AVERAGE($L25:$M25))</f>
        <v>0.23034743912663247</v>
      </c>
      <c r="H25" s="188"/>
      <c r="I25" s="188"/>
      <c r="J25" s="188"/>
      <c r="L25" s="60">
        <f>L67 / L66</f>
        <v>0.28773584905660377</v>
      </c>
      <c r="M25" s="60">
        <f t="shared" ref="M25:V25" si="25">M67 / M66</f>
        <v>0.2345360824742268</v>
      </c>
      <c r="N25" s="60">
        <f t="shared" si="25"/>
        <v>0.22448979591836735</v>
      </c>
      <c r="O25" s="60">
        <f t="shared" si="25"/>
        <v>0.22152989736371831</v>
      </c>
      <c r="P25" s="60">
        <f t="shared" si="25"/>
        <v>0.25927629561484206</v>
      </c>
      <c r="Q25" s="60">
        <f t="shared" si="25"/>
        <v>0.21609376760960217</v>
      </c>
      <c r="R25" s="60">
        <f t="shared" si="25"/>
        <v>0.24904240038303985</v>
      </c>
      <c r="S25" s="60">
        <f t="shared" si="25"/>
        <v>0.22425108843979466</v>
      </c>
      <c r="T25" s="60">
        <f t="shared" si="25"/>
        <v>0.36616252678022188</v>
      </c>
      <c r="U25" s="60">
        <f t="shared" si="25"/>
        <v>0.36565083481925759</v>
      </c>
      <c r="V25" s="60">
        <f t="shared" si="25"/>
        <v>0.33707711539964058</v>
      </c>
      <c r="W25"/>
      <c r="X25"/>
      <c r="Y25"/>
    </row>
    <row r="26" spans="2:25" hidden="1" outlineLevel="2" x14ac:dyDescent="0.3">
      <c r="B26" s="30" t="s">
        <v>416</v>
      </c>
      <c r="D26" s="81">
        <f t="shared" ref="D26:G26" si="26">AVERAGE($L26:$O26)</f>
        <v>3.6940905819634509E-2</v>
      </c>
      <c r="E26" s="81">
        <f t="shared" si="26"/>
        <v>3.6940905819634509E-2</v>
      </c>
      <c r="F26" s="81">
        <f t="shared" si="26"/>
        <v>3.6940905819634509E-2</v>
      </c>
      <c r="G26" s="81">
        <f t="shared" si="26"/>
        <v>3.6940905819634509E-2</v>
      </c>
      <c r="H26" s="188"/>
      <c r="I26" s="188"/>
      <c r="J26" s="188"/>
      <c r="L26" s="81">
        <f>L69 / L68</f>
        <v>3.6423841059602648E-2</v>
      </c>
      <c r="M26" s="81">
        <f t="shared" ref="M26:V26" si="27">M69 / M68</f>
        <v>3.7037037037037035E-2</v>
      </c>
      <c r="N26" s="81">
        <f t="shared" si="27"/>
        <v>3.6842105263157891E-2</v>
      </c>
      <c r="O26" s="81">
        <f t="shared" si="27"/>
        <v>3.7460639918740476E-2</v>
      </c>
      <c r="P26" s="81">
        <f t="shared" si="27"/>
        <v>0</v>
      </c>
      <c r="Q26" s="81">
        <f t="shared" si="27"/>
        <v>0</v>
      </c>
      <c r="R26" s="81">
        <f t="shared" si="27"/>
        <v>3.3933726511166606E-2</v>
      </c>
      <c r="S26" s="81">
        <f t="shared" si="27"/>
        <v>0</v>
      </c>
      <c r="T26" s="81">
        <f t="shared" si="27"/>
        <v>0</v>
      </c>
      <c r="U26" s="81">
        <f t="shared" si="27"/>
        <v>0</v>
      </c>
      <c r="V26" s="81">
        <f t="shared" si="27"/>
        <v>0</v>
      </c>
      <c r="W26"/>
      <c r="X26"/>
      <c r="Y26"/>
    </row>
    <row r="27" spans="2:25" hidden="1" outlineLevel="2" x14ac:dyDescent="0.3">
      <c r="B27" s="30"/>
      <c r="D27" s="61"/>
      <c r="E27" s="61"/>
      <c r="F27" s="61"/>
      <c r="G27" s="61"/>
      <c r="H27" s="61"/>
      <c r="I27" s="61"/>
      <c r="J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/>
      <c r="X27"/>
      <c r="Y27"/>
    </row>
    <row r="28" spans="2:25" hidden="1" outlineLevel="2" x14ac:dyDescent="0.3">
      <c r="B28" s="30" t="s">
        <v>417</v>
      </c>
      <c r="D28" s="60">
        <f>AVERAGE(N28, Q28)</f>
        <v>0.80445513988950057</v>
      </c>
      <c r="E28" s="60">
        <f t="shared" ref="E28:F28" si="28">AVERAGE(L28, O28, R28)</f>
        <v>0.84186638298202388</v>
      </c>
      <c r="F28" s="60">
        <f t="shared" si="28"/>
        <v>0.90388116616290171</v>
      </c>
      <c r="G28" s="60">
        <f>AVERAGE(N28, Q28, T28)</f>
        <v>0.79281553835167584</v>
      </c>
      <c r="H28" s="188"/>
      <c r="I28" s="188"/>
      <c r="J28" s="188"/>
      <c r="L28" s="60">
        <f>L101 / SUM(L$43:L$46)</f>
        <v>0.90174972967659495</v>
      </c>
      <c r="M28" s="60">
        <f t="shared" ref="M28:V28" si="29">M101 / SUM(M$43:M$46)</f>
        <v>0.93057440949462822</v>
      </c>
      <c r="N28" s="60">
        <f t="shared" si="29"/>
        <v>0.79797371852743504</v>
      </c>
      <c r="O28" s="60">
        <f t="shared" si="29"/>
        <v>0.8206316351182622</v>
      </c>
      <c r="P28" s="60">
        <f t="shared" si="29"/>
        <v>0.90280927643784792</v>
      </c>
      <c r="Q28" s="60">
        <f t="shared" si="29"/>
        <v>0.81093656125156599</v>
      </c>
      <c r="R28" s="60">
        <f t="shared" si="29"/>
        <v>0.80321778415121448</v>
      </c>
      <c r="S28" s="60">
        <f t="shared" si="29"/>
        <v>0.87825981255622876</v>
      </c>
      <c r="T28" s="60">
        <f t="shared" si="29"/>
        <v>0.76953633527602638</v>
      </c>
      <c r="U28" s="60">
        <f t="shared" si="29"/>
        <v>0.89404437342271681</v>
      </c>
      <c r="V28" s="60">
        <f t="shared" si="29"/>
        <v>0.88896839175968567</v>
      </c>
      <c r="W28"/>
      <c r="X28"/>
      <c r="Y28"/>
    </row>
    <row r="29" spans="2:25" hidden="1" outlineLevel="2" x14ac:dyDescent="0.3">
      <c r="B29" s="30" t="s">
        <v>418</v>
      </c>
      <c r="D29" s="60">
        <f t="shared" ref="D29:G32" ca="1" si="30">IF($G$8, AVERAGE($N29:$Q29), AVERAGE($L29:$M29))</f>
        <v>0.99455175134427809</v>
      </c>
      <c r="E29" s="60">
        <f t="shared" ca="1" si="30"/>
        <v>0.99455175134427809</v>
      </c>
      <c r="F29" s="60">
        <f t="shared" ca="1" si="30"/>
        <v>0.99455175134427809</v>
      </c>
      <c r="G29" s="60">
        <f t="shared" ca="1" si="30"/>
        <v>0.99455175134427809</v>
      </c>
      <c r="H29" s="188"/>
      <c r="I29" s="188"/>
      <c r="J29" s="188"/>
      <c r="L29" s="60">
        <f ca="1">L117 / SUM(L$43:L$46)</f>
        <v>1.4867295782954881</v>
      </c>
      <c r="M29" s="60">
        <f t="shared" ref="M29:V29" ca="1" si="31">M117 / SUM(M$43:M$46)</f>
        <v>1.1797696156382111</v>
      </c>
      <c r="N29" s="60">
        <f t="shared" ca="1" si="31"/>
        <v>0.98388337178586949</v>
      </c>
      <c r="O29" s="60">
        <f t="shared" ca="1" si="31"/>
        <v>0.99485588344217724</v>
      </c>
      <c r="P29" s="60">
        <f t="shared" ca="1" si="31"/>
        <v>1.0502486085343228</v>
      </c>
      <c r="Q29" s="60">
        <f t="shared" ca="1" si="31"/>
        <v>0.94921914161474286</v>
      </c>
      <c r="R29" s="60">
        <f t="shared" ca="1" si="31"/>
        <v>0.9245193228977735</v>
      </c>
      <c r="S29" s="60">
        <f t="shared" ca="1" si="31"/>
        <v>0.96272378684166848</v>
      </c>
      <c r="T29" s="60">
        <f t="shared" ca="1" si="31"/>
        <v>0.86111048878450658</v>
      </c>
      <c r="U29" s="60">
        <f t="shared" ca="1" si="31"/>
        <v>0.91619834549688683</v>
      </c>
      <c r="V29" s="60">
        <f t="shared" ca="1" si="31"/>
        <v>0.96461223082624037</v>
      </c>
      <c r="W29"/>
      <c r="X29"/>
      <c r="Y29"/>
    </row>
    <row r="30" spans="2:25" hidden="1" outlineLevel="2" x14ac:dyDescent="0.3">
      <c r="B30" s="30" t="s">
        <v>477</v>
      </c>
      <c r="D30" s="60">
        <f t="shared" si="30"/>
        <v>0.62412715310203115</v>
      </c>
      <c r="E30" s="60">
        <f t="shared" si="30"/>
        <v>0.62412715310203115</v>
      </c>
      <c r="F30" s="60">
        <f t="shared" si="30"/>
        <v>0.62412715310203115</v>
      </c>
      <c r="G30" s="60">
        <f t="shared" si="30"/>
        <v>0.62412715310203115</v>
      </c>
      <c r="H30" s="188"/>
      <c r="I30" s="188"/>
      <c r="J30" s="188"/>
      <c r="L30" s="60">
        <f>L109 / SUM(L43:L46)</f>
        <v>0.96849503587928831</v>
      </c>
      <c r="M30" s="60">
        <f t="shared" ref="M30:V30" si="32">M109 / SUM(M43:M46)</f>
        <v>0.75813520536787804</v>
      </c>
      <c r="N30" s="60">
        <f t="shared" si="32"/>
        <v>0.62370013709165073</v>
      </c>
      <c r="O30" s="60">
        <f t="shared" si="32"/>
        <v>0.6225906169813169</v>
      </c>
      <c r="P30" s="60">
        <f t="shared" si="32"/>
        <v>0.64187569573283854</v>
      </c>
      <c r="Q30" s="60">
        <f t="shared" si="32"/>
        <v>0.60834216260231799</v>
      </c>
      <c r="R30" s="60">
        <f t="shared" si="32"/>
        <v>0.59395716173703494</v>
      </c>
      <c r="S30" s="60">
        <f t="shared" si="32"/>
        <v>0.61108911294666379</v>
      </c>
      <c r="T30" s="60">
        <f t="shared" si="32"/>
        <v>0.54161049929703897</v>
      </c>
      <c r="U30" s="60">
        <f t="shared" si="32"/>
        <v>0.56836059983045728</v>
      </c>
      <c r="V30" s="60">
        <f t="shared" si="32"/>
        <v>0.59026092126532048</v>
      </c>
      <c r="W30"/>
      <c r="X30"/>
      <c r="Y30"/>
    </row>
    <row r="31" spans="2:25" customFormat="1" ht="6.9" hidden="1" customHeight="1" outlineLevel="2" x14ac:dyDescent="0.3"/>
    <row r="32" spans="2:25" hidden="1" outlineLevel="2" x14ac:dyDescent="0.3">
      <c r="B32" s="30" t="s">
        <v>419</v>
      </c>
      <c r="D32" s="60">
        <f t="shared" si="30"/>
        <v>0.86165835078676301</v>
      </c>
      <c r="E32" s="60">
        <f t="shared" si="30"/>
        <v>0.86165835078676301</v>
      </c>
      <c r="F32" s="60">
        <f t="shared" si="30"/>
        <v>0.86165835078676301</v>
      </c>
      <c r="G32" s="60">
        <f t="shared" si="30"/>
        <v>0.86165835078676301</v>
      </c>
      <c r="H32" s="188"/>
      <c r="I32" s="188"/>
      <c r="J32" s="188"/>
      <c r="L32" s="60">
        <f>L131 / SUM(L43:L46)</f>
        <v>0.8724565025066352</v>
      </c>
      <c r="M32" s="60">
        <f t="shared" ref="M32:V32" si="33">M131 / SUM(M43:M46)</f>
        <v>1.024085637823372</v>
      </c>
      <c r="N32" s="60">
        <f t="shared" si="33"/>
        <v>0.80158491323101611</v>
      </c>
      <c r="O32" s="60">
        <f t="shared" si="33"/>
        <v>0.81132310138082031</v>
      </c>
      <c r="P32" s="60">
        <f t="shared" si="33"/>
        <v>0.977438961038961</v>
      </c>
      <c r="Q32" s="60">
        <f t="shared" si="33"/>
        <v>0.85628642749625494</v>
      </c>
      <c r="R32" s="60">
        <f t="shared" si="33"/>
        <v>0.85026159610748953</v>
      </c>
      <c r="S32" s="60">
        <f t="shared" si="33"/>
        <v>0.89670357505757536</v>
      </c>
      <c r="T32" s="60">
        <f t="shared" si="33"/>
        <v>0.78336600260779743</v>
      </c>
      <c r="U32" s="60">
        <f t="shared" si="33"/>
        <v>0.88864239152676139</v>
      </c>
      <c r="V32" s="60">
        <f t="shared" si="33"/>
        <v>0.93686114133183596</v>
      </c>
      <c r="W32"/>
      <c r="X32"/>
      <c r="Y32"/>
    </row>
    <row r="33" spans="2:25" hidden="1" outlineLevel="2" x14ac:dyDescent="0.3">
      <c r="B33" s="30" t="s">
        <v>478</v>
      </c>
      <c r="D33" s="169">
        <f t="shared" ref="D33:E33" ca="1" si="34">$I33 + $H33 * D$10</f>
        <v>1964485.8137376942</v>
      </c>
      <c r="E33" s="169">
        <f t="shared" ca="1" si="34"/>
        <v>1925414.0812678337</v>
      </c>
      <c r="F33" s="169">
        <f ca="1">AVERAGE(E33,G33)</f>
        <v>1896957.0406339169</v>
      </c>
      <c r="G33" s="169">
        <f ca="1">$L33</f>
        <v>1868500</v>
      </c>
      <c r="H33" s="182">
        <f ca="1">SLOPE($L33:$V33, $L$10:$V$10)</f>
        <v>424.69274423761277</v>
      </c>
      <c r="I33" s="189">
        <f ca="1">INTERCEPT($L33:$V33, $L$10:$V$10)</f>
        <v>-16921175.829764709</v>
      </c>
      <c r="J33" s="90">
        <f ca="1">RSQ($L33:$V33, $L$10:$V$10)</f>
        <v>0.72974056574799939</v>
      </c>
      <c r="L33" s="147">
        <f ca="1">L150</f>
        <v>1868500</v>
      </c>
      <c r="M33" s="147">
        <f t="shared" ref="M33:V33" ca="1" si="35">M150</f>
        <v>1626000</v>
      </c>
      <c r="N33" s="147">
        <f t="shared" ca="1" si="35"/>
        <v>1745400</v>
      </c>
      <c r="O33" s="147">
        <f t="shared" ca="1" si="35"/>
        <v>1726356</v>
      </c>
      <c r="P33" s="147">
        <f t="shared" ca="1" si="35"/>
        <v>1501580</v>
      </c>
      <c r="Q33" s="147">
        <f t="shared" ca="1" si="35"/>
        <v>1358060</v>
      </c>
      <c r="R33" s="147">
        <f t="shared" ca="1" si="35"/>
        <v>1309245</v>
      </c>
      <c r="S33" s="147">
        <f t="shared" ca="1" si="35"/>
        <v>1416523</v>
      </c>
      <c r="T33" s="147">
        <f t="shared" ca="1" si="35"/>
        <v>1447068</v>
      </c>
      <c r="U33" s="147">
        <f t="shared" ca="1" si="35"/>
        <v>1392925</v>
      </c>
      <c r="V33" s="147">
        <f t="shared" ca="1" si="35"/>
        <v>1251330</v>
      </c>
      <c r="W33"/>
      <c r="X33"/>
      <c r="Y33"/>
    </row>
    <row r="34" spans="2:25" customFormat="1" ht="6.9" hidden="1" customHeight="1" outlineLevel="2" x14ac:dyDescent="0.3"/>
    <row r="35" spans="2:25" hidden="1" outlineLevel="2" x14ac:dyDescent="0.3">
      <c r="B35" s="30" t="str">
        <f>B154 &amp; " Trend"</f>
        <v>Additional paid-in capital Trend</v>
      </c>
      <c r="D35" s="155">
        <f t="shared" ref="D35:G35" si="36">IF($G$8, AVERAGE($N35:$Q35), AVERAGE($L35:$M35))</f>
        <v>289470</v>
      </c>
      <c r="E35" s="155">
        <f t="shared" si="36"/>
        <v>289470</v>
      </c>
      <c r="F35" s="155">
        <f t="shared" si="36"/>
        <v>289470</v>
      </c>
      <c r="G35" s="155">
        <f t="shared" si="36"/>
        <v>289470</v>
      </c>
      <c r="H35" s="182"/>
      <c r="I35" s="189"/>
      <c r="J35" s="90"/>
      <c r="L35" s="147">
        <f>L154</f>
        <v>300000</v>
      </c>
      <c r="M35" s="147">
        <f t="shared" ref="M35:V35" si="37">M154</f>
        <v>287800</v>
      </c>
      <c r="N35" s="147">
        <f t="shared" si="37"/>
        <v>291900</v>
      </c>
      <c r="O35" s="147">
        <f t="shared" si="37"/>
        <v>288197</v>
      </c>
      <c r="P35" s="147">
        <f t="shared" si="37"/>
        <v>287115</v>
      </c>
      <c r="Q35" s="147">
        <f t="shared" si="37"/>
        <v>290668</v>
      </c>
      <c r="R35" s="147">
        <f t="shared" si="37"/>
        <v>288492</v>
      </c>
      <c r="S35" s="147">
        <f t="shared" si="37"/>
        <v>286244</v>
      </c>
      <c r="T35" s="147">
        <f t="shared" si="37"/>
        <v>288970</v>
      </c>
      <c r="U35" s="147">
        <f t="shared" si="37"/>
        <v>287410</v>
      </c>
      <c r="V35" s="147">
        <f t="shared" si="37"/>
        <v>285455</v>
      </c>
      <c r="W35"/>
      <c r="X35"/>
      <c r="Y35"/>
    </row>
    <row r="36" spans="2:25" hidden="1" outlineLevel="2" x14ac:dyDescent="0.3">
      <c r="B36" s="30" t="str">
        <f t="shared" ref="B36:B37" si="38">B156 &amp; " Trend"</f>
        <v>Accumulated other comprehensive income (loss) Trend</v>
      </c>
      <c r="D36" s="155">
        <f t="shared" ref="D36:G37" si="39">$I36 + $H36 * D$10</f>
        <v>-219997.68992502196</v>
      </c>
      <c r="E36" s="155">
        <f t="shared" si="39"/>
        <v>-213893.76772525115</v>
      </c>
      <c r="F36" s="155">
        <f t="shared" si="39"/>
        <v>-207856.19250591239</v>
      </c>
      <c r="G36" s="155">
        <f t="shared" si="39"/>
        <v>-195781.04206723487</v>
      </c>
      <c r="H36" s="182">
        <f t="shared" ref="H36:H37" si="40">SLOPE($L36:$V36, $L$10:$V$10)</f>
        <v>-66.346980432293265</v>
      </c>
      <c r="I36" s="189">
        <f t="shared" ref="I36:I37" si="41">INTERCEPT($L36:$V36, $L$10:$V$10)</f>
        <v>2730386.1829186273</v>
      </c>
      <c r="J36" s="90">
        <f t="shared" ref="J36:J37" si="42">RSQ($L36:$V36, $L$10:$V$10)</f>
        <v>0.6241074358296026</v>
      </c>
      <c r="L36" s="147">
        <f t="shared" ref="L36:V37" si="43">L156</f>
        <v>-213300</v>
      </c>
      <c r="M36" s="147">
        <f t="shared" si="43"/>
        <v>-206000</v>
      </c>
      <c r="N36" s="147">
        <f t="shared" si="43"/>
        <v>-169500</v>
      </c>
      <c r="O36" s="147">
        <f t="shared" si="43"/>
        <v>-152530</v>
      </c>
      <c r="P36" s="147">
        <f t="shared" si="43"/>
        <v>-138749</v>
      </c>
      <c r="Q36" s="147">
        <f t="shared" si="43"/>
        <v>-128894</v>
      </c>
      <c r="R36" s="147">
        <f t="shared" si="43"/>
        <v>-126358</v>
      </c>
      <c r="S36" s="147">
        <f t="shared" si="43"/>
        <v>-105950</v>
      </c>
      <c r="T36" s="147">
        <f t="shared" si="43"/>
        <v>-126415</v>
      </c>
      <c r="U36" s="147">
        <f t="shared" si="43"/>
        <v>-136268</v>
      </c>
      <c r="V36" s="147">
        <f t="shared" si="43"/>
        <v>-140149</v>
      </c>
      <c r="W36"/>
      <c r="X36"/>
      <c r="Y36"/>
    </row>
    <row r="37" spans="2:25" hidden="1" outlineLevel="2" x14ac:dyDescent="0.3">
      <c r="B37" s="30" t="str">
        <f t="shared" si="38"/>
        <v>Treasury stock Trend</v>
      </c>
      <c r="D37" s="155">
        <f t="shared" si="39"/>
        <v>580739.86527557485</v>
      </c>
      <c r="E37" s="155">
        <f t="shared" si="39"/>
        <v>562817.05907933041</v>
      </c>
      <c r="F37" s="155">
        <f t="shared" si="39"/>
        <v>545089.06599391624</v>
      </c>
      <c r="G37" s="155">
        <f t="shared" si="39"/>
        <v>509633.07982308418</v>
      </c>
      <c r="H37" s="182">
        <f t="shared" si="40"/>
        <v>194.81311082874234</v>
      </c>
      <c r="I37" s="189">
        <f t="shared" si="41"/>
        <v>-8082404.3601677679</v>
      </c>
      <c r="J37" s="90">
        <f t="shared" si="42"/>
        <v>0.92153364764907664</v>
      </c>
      <c r="L37" s="147">
        <f t="shared" si="43"/>
        <v>467900</v>
      </c>
      <c r="M37" s="147">
        <f t="shared" si="43"/>
        <v>474100</v>
      </c>
      <c r="N37" s="147">
        <f t="shared" si="43"/>
        <v>436200</v>
      </c>
      <c r="O37" s="147">
        <f t="shared" si="43"/>
        <v>438820</v>
      </c>
      <c r="P37" s="147">
        <f t="shared" si="43"/>
        <v>443484</v>
      </c>
      <c r="Q37" s="147">
        <f t="shared" si="43"/>
        <v>382629</v>
      </c>
      <c r="R37" s="147">
        <f t="shared" si="43"/>
        <v>328962</v>
      </c>
      <c r="S37" s="147">
        <f t="shared" si="43"/>
        <v>290522</v>
      </c>
      <c r="T37" s="147">
        <f t="shared" si="43"/>
        <v>292729</v>
      </c>
      <c r="U37" s="147">
        <f t="shared" si="43"/>
        <v>295945</v>
      </c>
      <c r="V37" s="147">
        <f t="shared" si="43"/>
        <v>258703</v>
      </c>
      <c r="W37"/>
      <c r="X37"/>
      <c r="Y37"/>
    </row>
    <row r="38" spans="2:25" hidden="1" outlineLevel="1" x14ac:dyDescent="0.3"/>
    <row r="39" spans="2:25" s="43" customFormat="1" ht="15.9" customHeight="1" collapsed="1" x14ac:dyDescent="0.3">
      <c r="B39" s="40" t="s">
        <v>193</v>
      </c>
      <c r="C39" s="41"/>
      <c r="D39" s="52" t="s">
        <v>194</v>
      </c>
      <c r="E39" s="42"/>
      <c r="F39" s="42"/>
      <c r="G39" s="42"/>
      <c r="H39" s="42"/>
      <c r="I39" s="42"/>
      <c r="J39" s="42"/>
      <c r="K39" s="41"/>
      <c r="L39" s="42" t="s">
        <v>195</v>
      </c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2:25" s="48" customFormat="1" ht="15.9" customHeight="1" x14ac:dyDescent="0.3">
      <c r="B40" s="44" t="s">
        <v>196</v>
      </c>
      <c r="C40" s="45"/>
      <c r="D40" s="46">
        <f>EDATE(G40, 12)</f>
        <v>44469</v>
      </c>
      <c r="E40" s="46">
        <f t="shared" ref="E40:F40" si="44">EDATE(L40, 12)</f>
        <v>44377</v>
      </c>
      <c r="F40" s="46">
        <f t="shared" si="44"/>
        <v>44286</v>
      </c>
      <c r="G40" s="46">
        <f>EDATE(N40, 12)</f>
        <v>44104</v>
      </c>
      <c r="H40" s="46"/>
      <c r="I40" s="46"/>
      <c r="J40" s="46"/>
      <c r="K40" s="45"/>
      <c r="L40" s="46">
        <v>44012</v>
      </c>
      <c r="M40" s="46">
        <v>43921</v>
      </c>
      <c r="N40" s="46">
        <v>43738</v>
      </c>
      <c r="O40" s="46">
        <v>43646</v>
      </c>
      <c r="P40" s="46">
        <v>43555</v>
      </c>
      <c r="Q40" s="46">
        <v>43373</v>
      </c>
      <c r="R40" s="46">
        <v>43281</v>
      </c>
      <c r="S40" s="46">
        <v>43190</v>
      </c>
      <c r="T40" s="46">
        <v>43008</v>
      </c>
      <c r="U40" s="46">
        <v>42916</v>
      </c>
      <c r="V40" s="46">
        <v>42825</v>
      </c>
      <c r="W40" s="46">
        <v>42643</v>
      </c>
      <c r="X40" s="46">
        <v>42551</v>
      </c>
      <c r="Y40" s="46">
        <v>42460</v>
      </c>
    </row>
    <row r="41" spans="2:25" s="48" customFormat="1" ht="15.9" customHeight="1" x14ac:dyDescent="0.3">
      <c r="B41" s="44" t="s">
        <v>197</v>
      </c>
      <c r="C41" s="45"/>
      <c r="D41" s="49" t="str">
        <f>G41</f>
        <v>3rd Quarter</v>
      </c>
      <c r="E41" s="49" t="str">
        <f t="shared" ref="E41:F41" si="45">L41</f>
        <v>2nd Quarter</v>
      </c>
      <c r="F41" s="49" t="str">
        <f t="shared" si="45"/>
        <v>1st Quarter</v>
      </c>
      <c r="G41" s="49" t="str">
        <f>N41</f>
        <v>3rd Quarter</v>
      </c>
      <c r="H41" s="49"/>
      <c r="I41" s="49"/>
      <c r="J41" s="49"/>
      <c r="K41" s="45"/>
      <c r="L41" s="47" t="s">
        <v>198</v>
      </c>
      <c r="M41" s="47" t="s">
        <v>199</v>
      </c>
      <c r="N41" s="47" t="s">
        <v>200</v>
      </c>
      <c r="O41" s="47" t="s">
        <v>198</v>
      </c>
      <c r="P41" s="47" t="s">
        <v>199</v>
      </c>
      <c r="Q41" s="47" t="s">
        <v>200</v>
      </c>
      <c r="R41" s="47" t="s">
        <v>198</v>
      </c>
      <c r="S41" s="47" t="s">
        <v>199</v>
      </c>
      <c r="T41" s="47" t="s">
        <v>200</v>
      </c>
      <c r="U41" s="47" t="s">
        <v>198</v>
      </c>
      <c r="V41" s="47" t="s">
        <v>199</v>
      </c>
      <c r="W41" s="47" t="s">
        <v>200</v>
      </c>
      <c r="X41" s="47" t="s">
        <v>198</v>
      </c>
      <c r="Y41" s="47" t="s">
        <v>199</v>
      </c>
    </row>
    <row r="42" spans="2:25" s="27" customFormat="1" x14ac:dyDescent="0.3">
      <c r="B42" s="28" t="s">
        <v>201</v>
      </c>
      <c r="C42"/>
      <c r="D42" s="35"/>
      <c r="E42" s="35"/>
      <c r="F42" s="35"/>
      <c r="G42" s="35"/>
      <c r="H42" s="35"/>
      <c r="I42" s="35"/>
      <c r="J42" s="35"/>
      <c r="K42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</row>
    <row r="43" spans="2:25" x14ac:dyDescent="0.3">
      <c r="B43" s="89" t="s">
        <v>479</v>
      </c>
      <c r="D43" s="32">
        <f>G43 * (1 + D11)</f>
        <v>1582078.9571482483</v>
      </c>
      <c r="E43" s="32">
        <f t="shared" ref="E43:G47" si="46">L43 * (1 +E11
)</f>
        <v>1039904.4789007867</v>
      </c>
      <c r="F43" s="32">
        <f t="shared" si="46"/>
        <v>1313409.0444910473</v>
      </c>
      <c r="G43" s="32">
        <f t="shared" si="46"/>
        <v>1616759.3676859695</v>
      </c>
      <c r="L43" s="32">
        <v>1062700</v>
      </c>
      <c r="M43" s="32">
        <v>1342200</v>
      </c>
      <c r="N43" s="32">
        <v>1652200</v>
      </c>
      <c r="O43" s="32">
        <v>1565375</v>
      </c>
      <c r="P43" s="32">
        <v>1414485</v>
      </c>
      <c r="Q43" s="32">
        <v>1539498</v>
      </c>
      <c r="R43" s="32">
        <v>1555570</v>
      </c>
      <c r="S43" s="32">
        <v>1513590</v>
      </c>
      <c r="T43" s="32">
        <v>1710241</v>
      </c>
      <c r="U43" s="32">
        <v>1448768</v>
      </c>
      <c r="V43" s="32">
        <v>1337213</v>
      </c>
      <c r="W43" s="32">
        <v>1587952</v>
      </c>
      <c r="X43" s="32">
        <v>1540759</v>
      </c>
      <c r="Y43" s="32">
        <v>1409851</v>
      </c>
    </row>
    <row r="44" spans="2:25" x14ac:dyDescent="0.3">
      <c r="B44" s="89" t="s">
        <v>480</v>
      </c>
      <c r="D44" s="32">
        <f>G44 * (1 + D12)</f>
        <v>974530.11334066791</v>
      </c>
      <c r="E44" s="32">
        <f t="shared" si="46"/>
        <v>678744.63591879583</v>
      </c>
      <c r="F44" s="32">
        <f t="shared" si="46"/>
        <v>824613.33652642218</v>
      </c>
      <c r="G44" s="32">
        <f t="shared" si="46"/>
        <v>920624.15760851011</v>
      </c>
      <c r="L44" s="32">
        <v>641200</v>
      </c>
      <c r="M44" s="32">
        <v>779000</v>
      </c>
      <c r="N44" s="32">
        <v>869700</v>
      </c>
      <c r="O44" s="32">
        <v>838896</v>
      </c>
      <c r="P44" s="32">
        <v>819203</v>
      </c>
      <c r="Q44" s="32">
        <v>792405</v>
      </c>
      <c r="R44" s="32">
        <v>821853</v>
      </c>
      <c r="S44" s="32">
        <v>780570</v>
      </c>
      <c r="T44" s="32">
        <v>743038</v>
      </c>
      <c r="U44" s="32">
        <v>685949</v>
      </c>
      <c r="V44" s="32">
        <v>660927</v>
      </c>
      <c r="W44" s="32">
        <v>702620</v>
      </c>
      <c r="X44" s="32">
        <v>715778</v>
      </c>
      <c r="Y44" s="32">
        <v>688171</v>
      </c>
    </row>
    <row r="45" spans="2:25" x14ac:dyDescent="0.3">
      <c r="B45" s="89" t="s">
        <v>481</v>
      </c>
      <c r="D45" s="32">
        <f>G45 * (1 + D13)</f>
        <v>74200.992483885653</v>
      </c>
      <c r="E45" s="32">
        <f t="shared" si="46"/>
        <v>45421.273099611906</v>
      </c>
      <c r="F45" s="32">
        <f t="shared" si="46"/>
        <v>80676.388565019093</v>
      </c>
      <c r="G45" s="32">
        <f t="shared" si="46"/>
        <v>79557.178550244265</v>
      </c>
      <c r="L45" s="32">
        <v>48700</v>
      </c>
      <c r="M45" s="32">
        <v>86500</v>
      </c>
      <c r="N45" s="32">
        <v>85300</v>
      </c>
      <c r="O45" s="32">
        <v>95996</v>
      </c>
      <c r="P45" s="32">
        <v>92138</v>
      </c>
      <c r="Q45" s="32">
        <v>86570</v>
      </c>
      <c r="R45" s="32">
        <v>92854</v>
      </c>
      <c r="S45" s="32">
        <v>104029</v>
      </c>
      <c r="T45" s="32">
        <v>104827</v>
      </c>
      <c r="U45" s="32">
        <v>99377</v>
      </c>
      <c r="V45" s="32">
        <v>104157</v>
      </c>
      <c r="W45" s="32">
        <v>104218</v>
      </c>
      <c r="X45" s="32">
        <v>96279</v>
      </c>
      <c r="Y45" s="32">
        <v>101592</v>
      </c>
    </row>
    <row r="46" spans="2:25" x14ac:dyDescent="0.3">
      <c r="B46" s="89" t="s">
        <v>482</v>
      </c>
      <c r="D46" s="32">
        <f>G46 * (1 + D14)</f>
        <v>428252.2278247322</v>
      </c>
      <c r="E46" s="32">
        <f t="shared" si="46"/>
        <v>297999.98322381236</v>
      </c>
      <c r="F46" s="32">
        <f t="shared" si="46"/>
        <v>391626.92830760591</v>
      </c>
      <c r="G46" s="32">
        <f t="shared" si="46"/>
        <v>405258.84243380156</v>
      </c>
      <c r="L46" s="32">
        <v>282000</v>
      </c>
      <c r="M46" s="32">
        <v>370600</v>
      </c>
      <c r="N46" s="32">
        <v>383500</v>
      </c>
      <c r="O46" s="32">
        <v>378167</v>
      </c>
      <c r="P46" s="32">
        <v>369174</v>
      </c>
      <c r="Q46" s="32">
        <v>354501</v>
      </c>
      <c r="R46" s="32">
        <v>358129</v>
      </c>
      <c r="S46" s="32">
        <v>349515</v>
      </c>
      <c r="T46" s="32">
        <v>343193</v>
      </c>
      <c r="U46" s="32">
        <v>331631</v>
      </c>
      <c r="V46" s="32">
        <v>319698</v>
      </c>
      <c r="W46" s="32">
        <v>319676</v>
      </c>
      <c r="X46" s="32">
        <v>322073</v>
      </c>
      <c r="Y46" s="32">
        <v>308592</v>
      </c>
    </row>
    <row r="47" spans="2:25" x14ac:dyDescent="0.3">
      <c r="B47" s="89" t="s">
        <v>483</v>
      </c>
      <c r="D47" s="32">
        <f>G47 * (1 + D15)</f>
        <v>144759.87240844412</v>
      </c>
      <c r="E47" s="32">
        <f t="shared" si="46"/>
        <v>102997.15594368338</v>
      </c>
      <c r="F47" s="32">
        <f t="shared" si="46"/>
        <v>119826.06043086224</v>
      </c>
      <c r="G47" s="32">
        <f t="shared" si="46"/>
        <v>135909.38054202686</v>
      </c>
      <c r="L47" s="32">
        <v>96700</v>
      </c>
      <c r="M47" s="32">
        <v>112500</v>
      </c>
      <c r="N47" s="32">
        <v>127600</v>
      </c>
      <c r="O47" s="32">
        <v>127255</v>
      </c>
      <c r="P47" s="32">
        <v>113376</v>
      </c>
      <c r="Q47" s="32">
        <v>116084</v>
      </c>
      <c r="R47" s="32">
        <v>115056</v>
      </c>
      <c r="S47" s="32">
        <v>112322</v>
      </c>
      <c r="T47" s="32">
        <v>110993</v>
      </c>
      <c r="U47" s="32">
        <v>106470</v>
      </c>
      <c r="V47" s="32">
        <v>96834</v>
      </c>
      <c r="W47" s="32">
        <v>108710</v>
      </c>
      <c r="X47" s="32">
        <v>107560</v>
      </c>
      <c r="Y47" s="32">
        <v>100149</v>
      </c>
    </row>
    <row r="48" spans="2:25" s="39" customFormat="1" x14ac:dyDescent="0.3">
      <c r="B48" s="76" t="s">
        <v>315</v>
      </c>
      <c r="C48" s="25"/>
      <c r="D48" s="77">
        <f t="shared" ref="D48" si="47">SUM(D43:D47)</f>
        <v>3203822.163205978</v>
      </c>
      <c r="E48" s="77">
        <f t="shared" ref="E48" si="48">SUM(E43:E47)</f>
        <v>2165067.5270866905</v>
      </c>
      <c r="F48" s="77">
        <f t="shared" ref="F48" si="49">SUM(F43:F47)</f>
        <v>2730151.7583209565</v>
      </c>
      <c r="G48" s="77">
        <f t="shared" ref="G48" si="50">SUM(G43:G47)</f>
        <v>3158108.926820552</v>
      </c>
      <c r="H48" s="141"/>
      <c r="I48" s="123"/>
      <c r="J48" s="105"/>
      <c r="K48" s="25"/>
      <c r="L48" s="77">
        <f t="shared" ref="L48:Y48" si="51">SUM(L43:L47)</f>
        <v>2131300</v>
      </c>
      <c r="M48" s="77">
        <f t="shared" si="51"/>
        <v>2690800</v>
      </c>
      <c r="N48" s="77">
        <f t="shared" si="51"/>
        <v>3118300</v>
      </c>
      <c r="O48" s="77">
        <f t="shared" si="51"/>
        <v>3005689</v>
      </c>
      <c r="P48" s="77">
        <f t="shared" si="51"/>
        <v>2808376</v>
      </c>
      <c r="Q48" s="77">
        <f t="shared" si="51"/>
        <v>2889058</v>
      </c>
      <c r="R48" s="77">
        <f t="shared" si="51"/>
        <v>2943462</v>
      </c>
      <c r="S48" s="77">
        <f t="shared" si="51"/>
        <v>2860026</v>
      </c>
      <c r="T48" s="77">
        <f t="shared" si="51"/>
        <v>3012292</v>
      </c>
      <c r="U48" s="77">
        <f t="shared" si="51"/>
        <v>2672195</v>
      </c>
      <c r="V48" s="77">
        <f t="shared" si="51"/>
        <v>2518829</v>
      </c>
      <c r="W48" s="77">
        <f t="shared" si="51"/>
        <v>2823176</v>
      </c>
      <c r="X48" s="77">
        <f t="shared" si="51"/>
        <v>2782449</v>
      </c>
      <c r="Y48" s="77">
        <f t="shared" si="51"/>
        <v>2608355</v>
      </c>
    </row>
    <row r="49" spans="2:25" x14ac:dyDescent="0.3">
      <c r="B49" s="89" t="s">
        <v>484</v>
      </c>
      <c r="D49" s="32">
        <f t="shared" ref="D49:G52" si="52">D43 * D17</f>
        <v>1506565.3746532549</v>
      </c>
      <c r="E49" s="32">
        <f t="shared" si="52"/>
        <v>990269.21114149911</v>
      </c>
      <c r="F49" s="32">
        <f t="shared" si="52"/>
        <v>1250719.2389141999</v>
      </c>
      <c r="G49" s="32">
        <f t="shared" si="52"/>
        <v>1539590.4682864258</v>
      </c>
      <c r="L49" s="32">
        <v>998900</v>
      </c>
      <c r="M49" s="32">
        <v>1279400</v>
      </c>
      <c r="N49" s="32">
        <v>1577000</v>
      </c>
      <c r="O49" s="32">
        <v>1495671</v>
      </c>
      <c r="P49" s="32">
        <v>1343094</v>
      </c>
      <c r="Q49" s="32">
        <v>1461896</v>
      </c>
      <c r="R49" s="32">
        <v>1478988</v>
      </c>
      <c r="S49" s="32">
        <v>1438163</v>
      </c>
      <c r="T49" s="32">
        <v>1621909</v>
      </c>
      <c r="U49" s="32">
        <v>1373857</v>
      </c>
      <c r="V49" s="32">
        <v>1267986</v>
      </c>
      <c r="W49" s="32">
        <v>1507517</v>
      </c>
      <c r="X49" s="32">
        <v>1459611</v>
      </c>
      <c r="Y49" s="32">
        <v>1338124</v>
      </c>
    </row>
    <row r="50" spans="2:25" x14ac:dyDescent="0.3">
      <c r="B50" s="89" t="s">
        <v>485</v>
      </c>
      <c r="D50" s="32">
        <f t="shared" si="52"/>
        <v>914230.64234527969</v>
      </c>
      <c r="E50" s="32">
        <f t="shared" si="52"/>
        <v>636747.01888615161</v>
      </c>
      <c r="F50" s="32">
        <f t="shared" si="52"/>
        <v>773590.0307428448</v>
      </c>
      <c r="G50" s="32">
        <f t="shared" si="52"/>
        <v>863660.1408691298</v>
      </c>
      <c r="L50" s="32">
        <v>594900</v>
      </c>
      <c r="M50" s="32">
        <v>736900</v>
      </c>
      <c r="N50" s="32">
        <v>815500</v>
      </c>
      <c r="O50" s="32">
        <v>785604</v>
      </c>
      <c r="P50" s="32">
        <v>771394</v>
      </c>
      <c r="Q50" s="32">
        <v>742250</v>
      </c>
      <c r="R50" s="32">
        <v>770639</v>
      </c>
      <c r="S50" s="32">
        <v>737075</v>
      </c>
      <c r="T50" s="32">
        <v>695915</v>
      </c>
      <c r="U50" s="32">
        <v>641036</v>
      </c>
      <c r="V50" s="32">
        <v>615922</v>
      </c>
      <c r="W50" s="32">
        <v>656652</v>
      </c>
      <c r="X50" s="32">
        <v>667513</v>
      </c>
      <c r="Y50" s="32">
        <v>638971</v>
      </c>
    </row>
    <row r="51" spans="2:25" x14ac:dyDescent="0.3">
      <c r="B51" s="89" t="s">
        <v>486</v>
      </c>
      <c r="D51" s="32">
        <f t="shared" si="52"/>
        <v>74108.459199240708</v>
      </c>
      <c r="E51" s="32">
        <f t="shared" si="52"/>
        <v>45364.62992743904</v>
      </c>
      <c r="F51" s="32">
        <f t="shared" si="52"/>
        <v>80575.780055923547</v>
      </c>
      <c r="G51" s="32">
        <f t="shared" si="52"/>
        <v>79457.965766130394</v>
      </c>
      <c r="L51" s="32">
        <v>46600</v>
      </c>
      <c r="M51" s="32">
        <v>85500</v>
      </c>
      <c r="N51" s="32">
        <v>84900</v>
      </c>
      <c r="O51" s="32">
        <v>96089</v>
      </c>
      <c r="P51" s="32">
        <v>91687</v>
      </c>
      <c r="Q51" s="32">
        <v>86884</v>
      </c>
      <c r="R51" s="32">
        <v>92613</v>
      </c>
      <c r="S51" s="32">
        <v>102374</v>
      </c>
      <c r="T51" s="32">
        <v>105012</v>
      </c>
      <c r="U51" s="32">
        <v>99644</v>
      </c>
      <c r="V51" s="32">
        <v>104057</v>
      </c>
      <c r="W51" s="32">
        <v>106077</v>
      </c>
      <c r="X51" s="32">
        <v>96331</v>
      </c>
      <c r="Y51" s="32">
        <v>100143</v>
      </c>
    </row>
    <row r="52" spans="2:25" x14ac:dyDescent="0.3">
      <c r="B52" s="89" t="s">
        <v>487</v>
      </c>
      <c r="D52" s="32">
        <f t="shared" si="52"/>
        <v>196930.03896377134</v>
      </c>
      <c r="E52" s="32">
        <f t="shared" si="52"/>
        <v>137034.07593593706</v>
      </c>
      <c r="F52" s="32">
        <f t="shared" si="52"/>
        <v>180088.04447467474</v>
      </c>
      <c r="G52" s="32">
        <f t="shared" si="52"/>
        <v>186356.62454408463</v>
      </c>
      <c r="L52" s="32">
        <v>132000</v>
      </c>
      <c r="M52" s="32">
        <v>172600</v>
      </c>
      <c r="N52" s="32">
        <v>175300</v>
      </c>
      <c r="O52" s="32">
        <v>174072</v>
      </c>
      <c r="P52" s="32">
        <v>170698</v>
      </c>
      <c r="Q52" s="32">
        <v>162927</v>
      </c>
      <c r="R52" s="32">
        <v>163059</v>
      </c>
      <c r="S52" s="32">
        <v>162651</v>
      </c>
      <c r="T52" s="32">
        <v>158036</v>
      </c>
      <c r="U52" s="32">
        <v>152766</v>
      </c>
      <c r="V52" s="32">
        <v>147342</v>
      </c>
      <c r="W52" s="32">
        <v>146262</v>
      </c>
      <c r="X52" s="32">
        <v>148875</v>
      </c>
      <c r="Y52" s="32">
        <v>142016</v>
      </c>
    </row>
    <row r="53" spans="2:25" s="39" customFormat="1" x14ac:dyDescent="0.3">
      <c r="B53" s="73" t="s">
        <v>488</v>
      </c>
      <c r="C53" s="25"/>
      <c r="D53" s="53">
        <f t="shared" ref="D53:G53" si="53">SUM(D49:D52)</f>
        <v>2691834.5151615469</v>
      </c>
      <c r="E53" s="53">
        <f t="shared" si="53"/>
        <v>1809414.9358910269</v>
      </c>
      <c r="F53" s="53">
        <f t="shared" si="53"/>
        <v>2284973.0941876429</v>
      </c>
      <c r="G53" s="53">
        <f t="shared" si="53"/>
        <v>2669065.1994657707</v>
      </c>
      <c r="H53" s="139"/>
      <c r="I53" s="121"/>
      <c r="J53" s="103"/>
      <c r="K53" s="25"/>
      <c r="L53" s="53">
        <f>SUM(L49:L52)</f>
        <v>1772400</v>
      </c>
      <c r="M53" s="53">
        <f t="shared" ref="M53:Y53" si="54">SUM(M49:M52)</f>
        <v>2274400</v>
      </c>
      <c r="N53" s="53">
        <f t="shared" si="54"/>
        <v>2652700</v>
      </c>
      <c r="O53" s="53">
        <f t="shared" si="54"/>
        <v>2551436</v>
      </c>
      <c r="P53" s="53">
        <f t="shared" si="54"/>
        <v>2376873</v>
      </c>
      <c r="Q53" s="53">
        <f t="shared" si="54"/>
        <v>2453957</v>
      </c>
      <c r="R53" s="53">
        <f t="shared" si="54"/>
        <v>2505299</v>
      </c>
      <c r="S53" s="53">
        <f t="shared" si="54"/>
        <v>2440263</v>
      </c>
      <c r="T53" s="53">
        <f t="shared" si="54"/>
        <v>2580872</v>
      </c>
      <c r="U53" s="53">
        <f t="shared" si="54"/>
        <v>2267303</v>
      </c>
      <c r="V53" s="53">
        <f t="shared" si="54"/>
        <v>2135307</v>
      </c>
      <c r="W53" s="53">
        <f t="shared" si="54"/>
        <v>2416508</v>
      </c>
      <c r="X53" s="53">
        <f t="shared" si="54"/>
        <v>2372330</v>
      </c>
      <c r="Y53" s="53">
        <f t="shared" si="54"/>
        <v>2219254</v>
      </c>
    </row>
    <row r="54" spans="2:25" s="39" customFormat="1" x14ac:dyDescent="0.3">
      <c r="B54" s="76" t="s">
        <v>489</v>
      </c>
      <c r="C54" s="25"/>
      <c r="D54" s="77">
        <f t="shared" ref="D54:G54" si="55">D48 - D53</f>
        <v>511987.64804443112</v>
      </c>
      <c r="E54" s="77">
        <f t="shared" si="55"/>
        <v>355652.59119566367</v>
      </c>
      <c r="F54" s="77">
        <f t="shared" si="55"/>
        <v>445178.66413331358</v>
      </c>
      <c r="G54" s="77">
        <f t="shared" si="55"/>
        <v>489043.72735478124</v>
      </c>
      <c r="H54" s="77"/>
      <c r="I54" s="77"/>
      <c r="J54" s="77"/>
      <c r="K54" s="25"/>
      <c r="L54" s="77">
        <f>L48 - L53</f>
        <v>358900</v>
      </c>
      <c r="M54" s="77">
        <f t="shared" ref="M54:Y54" si="56">M48 - M53</f>
        <v>416400</v>
      </c>
      <c r="N54" s="77">
        <f t="shared" si="56"/>
        <v>465600</v>
      </c>
      <c r="O54" s="77">
        <f t="shared" si="56"/>
        <v>454253</v>
      </c>
      <c r="P54" s="77">
        <f t="shared" si="56"/>
        <v>431503</v>
      </c>
      <c r="Q54" s="77">
        <f t="shared" si="56"/>
        <v>435101</v>
      </c>
      <c r="R54" s="77">
        <f t="shared" si="56"/>
        <v>438163</v>
      </c>
      <c r="S54" s="77">
        <f t="shared" si="56"/>
        <v>419763</v>
      </c>
      <c r="T54" s="77">
        <f t="shared" si="56"/>
        <v>431420</v>
      </c>
      <c r="U54" s="77">
        <f t="shared" si="56"/>
        <v>404892</v>
      </c>
      <c r="V54" s="77">
        <f t="shared" si="56"/>
        <v>383522</v>
      </c>
      <c r="W54" s="77">
        <f t="shared" si="56"/>
        <v>406668</v>
      </c>
      <c r="X54" s="77">
        <f t="shared" si="56"/>
        <v>410119</v>
      </c>
      <c r="Y54" s="77">
        <f t="shared" si="56"/>
        <v>389101</v>
      </c>
    </row>
    <row r="55" spans="2:25" x14ac:dyDescent="0.3">
      <c r="B55" s="89" t="s">
        <v>490</v>
      </c>
      <c r="D55" s="32">
        <f t="shared" ref="D55:G58" si="57">$L55</f>
        <v>0</v>
      </c>
      <c r="E55" s="32">
        <f t="shared" si="57"/>
        <v>0</v>
      </c>
      <c r="F55" s="32">
        <f t="shared" si="57"/>
        <v>0</v>
      </c>
      <c r="G55" s="32">
        <f>$L55</f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200446</v>
      </c>
      <c r="R55" s="32">
        <v>203261</v>
      </c>
      <c r="S55" s="32">
        <v>204960</v>
      </c>
      <c r="T55" s="32">
        <v>199831</v>
      </c>
      <c r="U55" s="32">
        <v>186610</v>
      </c>
      <c r="V55" s="32">
        <v>184043</v>
      </c>
      <c r="W55" s="32">
        <v>0</v>
      </c>
      <c r="X55" s="32">
        <v>186079</v>
      </c>
      <c r="Y55" s="32">
        <v>0</v>
      </c>
    </row>
    <row r="56" spans="2:25" x14ac:dyDescent="0.3">
      <c r="B56" s="89" t="s">
        <v>491</v>
      </c>
      <c r="D56" s="32">
        <f t="shared" si="57"/>
        <v>0</v>
      </c>
      <c r="E56" s="32">
        <f t="shared" si="57"/>
        <v>0</v>
      </c>
      <c r="F56" s="32">
        <f t="shared" si="57"/>
        <v>0</v>
      </c>
      <c r="G56" s="32">
        <f t="shared" si="57"/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19468</v>
      </c>
      <c r="R56" s="32">
        <v>18687</v>
      </c>
      <c r="S56" s="32">
        <v>18306</v>
      </c>
      <c r="T56" s="32">
        <v>19643</v>
      </c>
      <c r="U56" s="32">
        <v>20156</v>
      </c>
      <c r="V56" s="32">
        <v>17773</v>
      </c>
      <c r="W56" s="32">
        <v>0</v>
      </c>
      <c r="X56" s="32">
        <v>19426</v>
      </c>
      <c r="Y56" s="32">
        <v>0</v>
      </c>
    </row>
    <row r="57" spans="2:25" x14ac:dyDescent="0.3">
      <c r="B57" s="89" t="s">
        <v>492</v>
      </c>
      <c r="D57" s="32">
        <f t="shared" si="57"/>
        <v>0</v>
      </c>
      <c r="E57" s="32">
        <f t="shared" si="57"/>
        <v>0</v>
      </c>
      <c r="F57" s="32">
        <f t="shared" si="57"/>
        <v>0</v>
      </c>
      <c r="G57" s="32">
        <f t="shared" si="57"/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28098</v>
      </c>
      <c r="R57" s="32">
        <v>28853</v>
      </c>
      <c r="S57" s="32">
        <v>28402</v>
      </c>
      <c r="T57" s="32">
        <v>29208</v>
      </c>
      <c r="U57" s="32">
        <v>27808</v>
      </c>
      <c r="V57" s="32">
        <v>27212</v>
      </c>
      <c r="W57" s="32">
        <v>0</v>
      </c>
      <c r="X57" s="32">
        <v>28741</v>
      </c>
      <c r="Y57" s="32">
        <v>0</v>
      </c>
    </row>
    <row r="58" spans="2:25" x14ac:dyDescent="0.3">
      <c r="B58" s="89" t="s">
        <v>493</v>
      </c>
      <c r="D58" s="32">
        <f t="shared" si="57"/>
        <v>0</v>
      </c>
      <c r="E58" s="32">
        <f t="shared" si="57"/>
        <v>0</v>
      </c>
      <c r="F58" s="32">
        <f t="shared" si="57"/>
        <v>0</v>
      </c>
      <c r="G58" s="32">
        <f t="shared" si="57"/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68759</v>
      </c>
      <c r="R58" s="32">
        <v>57291</v>
      </c>
      <c r="S58" s="32">
        <v>72679</v>
      </c>
      <c r="T58" s="32">
        <v>79645</v>
      </c>
      <c r="U58" s="32">
        <v>63994</v>
      </c>
      <c r="V58" s="32">
        <v>60751</v>
      </c>
      <c r="W58" s="32">
        <v>0</v>
      </c>
      <c r="X58" s="32">
        <v>64776</v>
      </c>
      <c r="Y58" s="32">
        <v>0</v>
      </c>
    </row>
    <row r="59" spans="2:25" x14ac:dyDescent="0.3">
      <c r="B59" s="89" t="s">
        <v>494</v>
      </c>
      <c r="D59" s="32">
        <f>ROUND(IF(NOT($G$8), AVERAGE($L59), AVERAGE($N59:$Q59)), -2)</f>
        <v>334300</v>
      </c>
      <c r="E59" s="32">
        <f t="shared" ref="E59:G59" si="58">ROUND(IF(NOT($G$8), AVERAGE($L59), AVERAGE($N59:$Q59)), -2)</f>
        <v>334300</v>
      </c>
      <c r="F59" s="32">
        <f t="shared" si="58"/>
        <v>334300</v>
      </c>
      <c r="G59" s="32">
        <f t="shared" si="58"/>
        <v>334300</v>
      </c>
      <c r="L59" s="32">
        <v>237200</v>
      </c>
      <c r="M59" s="32">
        <v>328000</v>
      </c>
      <c r="N59" s="32">
        <v>354000</v>
      </c>
      <c r="O59" s="32">
        <v>338715</v>
      </c>
      <c r="P59" s="32">
        <v>327708</v>
      </c>
      <c r="Q59" s="32">
        <v>316771</v>
      </c>
      <c r="R59" s="32">
        <v>308092</v>
      </c>
      <c r="S59" s="32">
        <v>324347</v>
      </c>
      <c r="T59" s="32">
        <v>328327</v>
      </c>
      <c r="U59" s="32">
        <v>298568</v>
      </c>
      <c r="V59" s="32">
        <v>289779</v>
      </c>
      <c r="W59" s="32">
        <v>299006</v>
      </c>
      <c r="X59" s="32">
        <v>299022</v>
      </c>
      <c r="Y59" s="32">
        <v>293664</v>
      </c>
    </row>
    <row r="60" spans="2:25" x14ac:dyDescent="0.3">
      <c r="B60" s="89" t="s">
        <v>495</v>
      </c>
      <c r="D60" s="32">
        <f>D109 * D22</f>
        <v>18858.634983184827</v>
      </c>
      <c r="E60" s="32">
        <f>E109 * E22</f>
        <v>12712.337553900516</v>
      </c>
      <c r="F60" s="32">
        <f>F109 * F22</f>
        <v>16092.244892111161</v>
      </c>
      <c r="G60" s="32">
        <f>G109 * G22</f>
        <v>18631.381996067281</v>
      </c>
      <c r="L60" s="32">
        <v>18800</v>
      </c>
      <c r="M60" s="32">
        <v>18600</v>
      </c>
      <c r="N60" s="32">
        <v>18000</v>
      </c>
      <c r="O60" s="32">
        <v>17864</v>
      </c>
      <c r="P60" s="32">
        <v>16997</v>
      </c>
      <c r="Q60" s="32">
        <v>16981</v>
      </c>
      <c r="R60" s="32">
        <v>16638</v>
      </c>
      <c r="S60" s="32">
        <v>16342</v>
      </c>
      <c r="T60" s="32">
        <v>15059</v>
      </c>
      <c r="U60" s="32">
        <v>14093</v>
      </c>
      <c r="V60" s="32">
        <v>13606</v>
      </c>
      <c r="W60" s="32">
        <v>12891</v>
      </c>
      <c r="X60" s="32">
        <v>12713</v>
      </c>
      <c r="Y60" s="32">
        <v>12464</v>
      </c>
    </row>
    <row r="61" spans="2:25" x14ac:dyDescent="0.3">
      <c r="B61" s="89" t="s">
        <v>496</v>
      </c>
      <c r="D61" s="32">
        <f t="shared" ref="D61:F61" si="59">ROUND(AVERAGE($L61:$Q61), -2)</f>
        <v>9600</v>
      </c>
      <c r="E61" s="32">
        <f t="shared" si="59"/>
        <v>9600</v>
      </c>
      <c r="F61" s="32">
        <f t="shared" si="59"/>
        <v>9600</v>
      </c>
      <c r="G61" s="32">
        <f>ROUND(AVERAGE($L61:$Q61), -2)</f>
        <v>9600</v>
      </c>
      <c r="L61" s="32">
        <v>23800</v>
      </c>
      <c r="M61" s="32">
        <v>0</v>
      </c>
      <c r="N61" s="32">
        <v>10300</v>
      </c>
      <c r="O61" s="32">
        <v>537</v>
      </c>
      <c r="P61" s="32">
        <v>0</v>
      </c>
      <c r="Q61" s="32">
        <v>23159</v>
      </c>
      <c r="R61" s="32">
        <v>4268</v>
      </c>
      <c r="S61" s="32">
        <v>0</v>
      </c>
      <c r="T61" s="32">
        <v>9526</v>
      </c>
      <c r="U61" s="32">
        <v>0</v>
      </c>
      <c r="V61" s="32">
        <v>0</v>
      </c>
      <c r="W61" s="32">
        <v>10855</v>
      </c>
      <c r="X61" s="32">
        <v>1024</v>
      </c>
      <c r="Y61" s="32">
        <v>932</v>
      </c>
    </row>
    <row r="62" spans="2:25" s="39" customFormat="1" x14ac:dyDescent="0.3">
      <c r="B62" s="76" t="s">
        <v>497</v>
      </c>
      <c r="C62" s="25"/>
      <c r="D62" s="77">
        <f t="shared" ref="D62:G62" si="60">D54 - SUM(D59:D61)</f>
        <v>149229.01306124631</v>
      </c>
      <c r="E62" s="77">
        <f t="shared" si="60"/>
        <v>-959.74635823682183</v>
      </c>
      <c r="F62" s="77">
        <f t="shared" si="60"/>
        <v>85186.419241202413</v>
      </c>
      <c r="G62" s="77">
        <f t="shared" si="60"/>
        <v>126512.34535871394</v>
      </c>
      <c r="H62" s="141"/>
      <c r="I62" s="123"/>
      <c r="J62" s="105"/>
      <c r="K62" s="25"/>
      <c r="L62" s="77">
        <f>L54 - SUM(L59:L61)</f>
        <v>79100</v>
      </c>
      <c r="M62" s="77">
        <f t="shared" ref="M62:Y62" si="61">M54 - SUM(M59:M61)</f>
        <v>69800</v>
      </c>
      <c r="N62" s="77">
        <f t="shared" si="61"/>
        <v>83300</v>
      </c>
      <c r="O62" s="77">
        <f t="shared" si="61"/>
        <v>97137</v>
      </c>
      <c r="P62" s="77">
        <f t="shared" si="61"/>
        <v>86798</v>
      </c>
      <c r="Q62" s="77">
        <f t="shared" si="61"/>
        <v>78190</v>
      </c>
      <c r="R62" s="77">
        <f t="shared" si="61"/>
        <v>109165</v>
      </c>
      <c r="S62" s="77">
        <f t="shared" si="61"/>
        <v>79074</v>
      </c>
      <c r="T62" s="77">
        <f t="shared" si="61"/>
        <v>78508</v>
      </c>
      <c r="U62" s="77">
        <f t="shared" si="61"/>
        <v>92231</v>
      </c>
      <c r="V62" s="77">
        <f t="shared" si="61"/>
        <v>80137</v>
      </c>
      <c r="W62" s="77">
        <f t="shared" si="61"/>
        <v>83916</v>
      </c>
      <c r="X62" s="77">
        <f t="shared" si="61"/>
        <v>97360</v>
      </c>
      <c r="Y62" s="77">
        <f t="shared" si="61"/>
        <v>82041</v>
      </c>
    </row>
    <row r="63" spans="2:25" s="193" customFormat="1" x14ac:dyDescent="0.3">
      <c r="B63" s="190" t="s">
        <v>498</v>
      </c>
      <c r="C63" s="191"/>
      <c r="D63" s="192">
        <f>D23 * SUM(D120, D122)</f>
        <v>0</v>
      </c>
      <c r="E63" s="192">
        <f>E23 * SUM(E120, E122)</f>
        <v>0</v>
      </c>
      <c r="F63" s="192">
        <f>F23 * SUM(F120, F122)</f>
        <v>0</v>
      </c>
      <c r="G63" s="192">
        <f>G23 * SUM(G120, G122)</f>
        <v>0</v>
      </c>
      <c r="H63" s="192"/>
      <c r="I63" s="192"/>
      <c r="J63" s="192"/>
      <c r="K63" s="191"/>
      <c r="L63" s="192">
        <v>10100</v>
      </c>
      <c r="M63" s="192">
        <v>12900</v>
      </c>
      <c r="N63" s="192">
        <v>15400</v>
      </c>
      <c r="O63" s="192">
        <v>15943</v>
      </c>
      <c r="P63" s="192">
        <v>15703</v>
      </c>
      <c r="Q63" s="192">
        <v>14685</v>
      </c>
      <c r="R63" s="192">
        <v>14563</v>
      </c>
      <c r="S63" s="192">
        <v>14087</v>
      </c>
      <c r="T63" s="192">
        <v>13491</v>
      </c>
      <c r="U63" s="192">
        <v>13226</v>
      </c>
      <c r="V63" s="192">
        <v>11942</v>
      </c>
      <c r="W63" s="192">
        <v>11135</v>
      </c>
      <c r="X63" s="192">
        <v>11593</v>
      </c>
      <c r="Y63" s="192">
        <v>11010</v>
      </c>
    </row>
    <row r="64" spans="2:25" s="193" customFormat="1" x14ac:dyDescent="0.3">
      <c r="B64" s="190" t="s">
        <v>499</v>
      </c>
      <c r="C64" s="191"/>
      <c r="D64" s="192">
        <f>D24 * D140</f>
        <v>0</v>
      </c>
      <c r="E64" s="192">
        <f>E24 * E140</f>
        <v>0</v>
      </c>
      <c r="F64" s="192">
        <f>F24 * F140</f>
        <v>0</v>
      </c>
      <c r="G64" s="192">
        <f>G24 * G140</f>
        <v>0</v>
      </c>
      <c r="H64" s="192"/>
      <c r="I64" s="192"/>
      <c r="J64" s="192"/>
      <c r="K64" s="191"/>
      <c r="L64" s="192">
        <v>16200</v>
      </c>
      <c r="M64" s="192">
        <v>18100</v>
      </c>
      <c r="N64" s="192">
        <v>18900</v>
      </c>
      <c r="O64" s="192">
        <v>17961</v>
      </c>
      <c r="P64" s="192">
        <v>18919</v>
      </c>
      <c r="Q64" s="192">
        <v>19140</v>
      </c>
      <c r="R64" s="192">
        <v>19414</v>
      </c>
      <c r="S64" s="192">
        <v>18820</v>
      </c>
      <c r="T64" s="192">
        <v>17874</v>
      </c>
      <c r="U64" s="192">
        <v>17315</v>
      </c>
      <c r="V64" s="192">
        <v>16999</v>
      </c>
      <c r="W64" s="192">
        <v>17094</v>
      </c>
      <c r="X64" s="192">
        <v>16705</v>
      </c>
      <c r="Y64" s="192">
        <v>16929</v>
      </c>
    </row>
    <row r="65" spans="2:25" s="201" customFormat="1" x14ac:dyDescent="0.3">
      <c r="B65" s="198" t="s">
        <v>500</v>
      </c>
      <c r="C65" s="199"/>
      <c r="D65" s="200">
        <v>0</v>
      </c>
      <c r="E65" s="200">
        <v>0</v>
      </c>
      <c r="F65" s="200">
        <v>0</v>
      </c>
      <c r="G65" s="200">
        <v>0</v>
      </c>
      <c r="H65" s="200"/>
      <c r="I65" s="200"/>
      <c r="J65" s="200"/>
      <c r="K65" s="199"/>
      <c r="L65" s="200">
        <v>10400</v>
      </c>
      <c r="M65" s="200">
        <v>0</v>
      </c>
      <c r="N65" s="200">
        <v>0</v>
      </c>
      <c r="O65" s="200">
        <v>0</v>
      </c>
      <c r="P65" s="200">
        <v>0</v>
      </c>
      <c r="Q65" s="200">
        <v>0</v>
      </c>
      <c r="R65" s="200">
        <v>0</v>
      </c>
      <c r="S65" s="200">
        <v>0</v>
      </c>
      <c r="T65" s="200">
        <v>0</v>
      </c>
      <c r="U65" s="200">
        <v>0</v>
      </c>
      <c r="V65" s="200">
        <v>0</v>
      </c>
      <c r="W65" s="200">
        <v>0</v>
      </c>
      <c r="X65" s="200">
        <v>0</v>
      </c>
      <c r="Y65" s="200">
        <v>0</v>
      </c>
    </row>
    <row r="66" spans="2:25" s="39" customFormat="1" x14ac:dyDescent="0.3">
      <c r="B66" s="76" t="s">
        <v>212</v>
      </c>
      <c r="C66" s="25"/>
      <c r="D66" s="77">
        <f t="shared" ref="D66" si="62">D62 - SUM(D63:D65)</f>
        <v>149229.01306124631</v>
      </c>
      <c r="E66" s="77">
        <f t="shared" ref="E66" si="63">E62 - SUM(E63:E65)</f>
        <v>-959.74635823682183</v>
      </c>
      <c r="F66" s="77">
        <f t="shared" ref="F66" si="64">F62 - SUM(F63:F65)</f>
        <v>85186.419241202413</v>
      </c>
      <c r="G66" s="77">
        <f t="shared" ref="G66" si="65">G62 - SUM(G63:G65)</f>
        <v>126512.34535871394</v>
      </c>
      <c r="H66" s="141"/>
      <c r="I66" s="123"/>
      <c r="J66" s="105"/>
      <c r="K66" s="25"/>
      <c r="L66" s="77">
        <f t="shared" ref="L66:Y66" si="66">L62 - SUM(L63:L65)</f>
        <v>42400</v>
      </c>
      <c r="M66" s="77">
        <f t="shared" si="66"/>
        <v>38800</v>
      </c>
      <c r="N66" s="77">
        <f t="shared" si="66"/>
        <v>49000</v>
      </c>
      <c r="O66" s="77">
        <f t="shared" si="66"/>
        <v>63233</v>
      </c>
      <c r="P66" s="77">
        <f t="shared" si="66"/>
        <v>52176</v>
      </c>
      <c r="Q66" s="77">
        <f t="shared" si="66"/>
        <v>44365</v>
      </c>
      <c r="R66" s="77">
        <f t="shared" si="66"/>
        <v>75188</v>
      </c>
      <c r="S66" s="77">
        <f t="shared" si="66"/>
        <v>46167</v>
      </c>
      <c r="T66" s="77">
        <f t="shared" si="66"/>
        <v>47143</v>
      </c>
      <c r="U66" s="77">
        <f t="shared" si="66"/>
        <v>61690</v>
      </c>
      <c r="V66" s="77">
        <f t="shared" si="66"/>
        <v>51196</v>
      </c>
      <c r="W66" s="77">
        <f t="shared" si="66"/>
        <v>55687</v>
      </c>
      <c r="X66" s="77">
        <f t="shared" si="66"/>
        <v>69062</v>
      </c>
      <c r="Y66" s="77">
        <f t="shared" si="66"/>
        <v>54102</v>
      </c>
    </row>
    <row r="67" spans="2:25" s="193" customFormat="1" x14ac:dyDescent="0.3">
      <c r="B67" s="89" t="s">
        <v>213</v>
      </c>
      <c r="C67" s="191"/>
      <c r="D67" s="192">
        <f>D66 * D25</f>
        <v>34374.521002052876</v>
      </c>
      <c r="E67" s="192">
        <f>E66 * E25</f>
        <v>-221.07511583096351</v>
      </c>
      <c r="F67" s="192">
        <f>F66 * F25</f>
        <v>19622.473520578667</v>
      </c>
      <c r="G67" s="192">
        <f>G66 * G25</f>
        <v>29141.794771283861</v>
      </c>
      <c r="H67" s="192"/>
      <c r="I67" s="192"/>
      <c r="J67" s="192"/>
      <c r="K67" s="191"/>
      <c r="L67" s="192">
        <v>12200</v>
      </c>
      <c r="M67" s="192">
        <v>9100</v>
      </c>
      <c r="N67" s="192">
        <v>11000</v>
      </c>
      <c r="O67" s="192">
        <v>14008</v>
      </c>
      <c r="P67" s="192">
        <v>13528</v>
      </c>
      <c r="Q67" s="192">
        <v>9587</v>
      </c>
      <c r="R67" s="192">
        <v>18725</v>
      </c>
      <c r="S67" s="192">
        <v>10353</v>
      </c>
      <c r="T67" s="192">
        <v>17262</v>
      </c>
      <c r="U67" s="192">
        <v>22557</v>
      </c>
      <c r="V67" s="192">
        <v>17257</v>
      </c>
      <c r="W67" s="192">
        <v>20321</v>
      </c>
      <c r="X67" s="192">
        <v>22482</v>
      </c>
      <c r="Y67" s="192">
        <v>19811</v>
      </c>
    </row>
    <row r="68" spans="2:25" s="197" customFormat="1" x14ac:dyDescent="0.3">
      <c r="B68" s="194" t="s">
        <v>214</v>
      </c>
      <c r="C68" s="195"/>
      <c r="D68" s="153">
        <f t="shared" ref="D68" si="67">D66 - D67</f>
        <v>114854.49205919344</v>
      </c>
      <c r="E68" s="153">
        <f t="shared" ref="E68" si="68">E66 - E67</f>
        <v>-738.67124240585827</v>
      </c>
      <c r="F68" s="153">
        <f t="shared" ref="F68" si="69">F66 - F67</f>
        <v>65563.945720623742</v>
      </c>
      <c r="G68" s="153">
        <f t="shared" ref="G68" si="70">G66 - G67</f>
        <v>97370.550587430072</v>
      </c>
      <c r="H68" s="196"/>
      <c r="I68" s="196"/>
      <c r="J68" s="153"/>
      <c r="K68" s="195"/>
      <c r="L68" s="153">
        <f t="shared" ref="L68:Y68" si="71">L66 - L67</f>
        <v>30200</v>
      </c>
      <c r="M68" s="153">
        <f t="shared" si="71"/>
        <v>29700</v>
      </c>
      <c r="N68" s="153">
        <f t="shared" si="71"/>
        <v>38000</v>
      </c>
      <c r="O68" s="153">
        <f t="shared" si="71"/>
        <v>49225</v>
      </c>
      <c r="P68" s="153">
        <f t="shared" si="71"/>
        <v>38648</v>
      </c>
      <c r="Q68" s="153">
        <f t="shared" si="71"/>
        <v>34778</v>
      </c>
      <c r="R68" s="153">
        <f t="shared" si="71"/>
        <v>56463</v>
      </c>
      <c r="S68" s="153">
        <f t="shared" si="71"/>
        <v>35814</v>
      </c>
      <c r="T68" s="153">
        <f t="shared" si="71"/>
        <v>29881</v>
      </c>
      <c r="U68" s="153">
        <f t="shared" si="71"/>
        <v>39133</v>
      </c>
      <c r="V68" s="153">
        <f t="shared" si="71"/>
        <v>33939</v>
      </c>
      <c r="W68" s="153">
        <f t="shared" si="71"/>
        <v>35366</v>
      </c>
      <c r="X68" s="153">
        <f t="shared" si="71"/>
        <v>46580</v>
      </c>
      <c r="Y68" s="153">
        <f t="shared" si="71"/>
        <v>34291</v>
      </c>
    </row>
    <row r="69" spans="2:25" s="193" customFormat="1" x14ac:dyDescent="0.3">
      <c r="B69" s="89" t="s">
        <v>501</v>
      </c>
      <c r="C69" s="191"/>
      <c r="D69" s="192">
        <f>D68 * D26</f>
        <v>4242.8289741206245</v>
      </c>
      <c r="E69" s="192">
        <f>E68 * E26</f>
        <v>-27.287184797387223</v>
      </c>
      <c r="F69" s="192">
        <f>F68 * F26</f>
        <v>2421.9915440291907</v>
      </c>
      <c r="G69" s="192">
        <f>G68 * G26</f>
        <v>3596.9563388562119</v>
      </c>
      <c r="H69" s="192"/>
      <c r="I69" s="192"/>
      <c r="J69" s="192"/>
      <c r="K69" s="191"/>
      <c r="L69" s="192">
        <v>1100</v>
      </c>
      <c r="M69" s="192">
        <v>1100</v>
      </c>
      <c r="N69" s="192">
        <v>1400</v>
      </c>
      <c r="O69" s="192">
        <v>1844</v>
      </c>
      <c r="P69" s="192">
        <v>0</v>
      </c>
      <c r="Q69" s="192">
        <v>0</v>
      </c>
      <c r="R69" s="192">
        <v>1916</v>
      </c>
      <c r="S69" s="192">
        <v>0</v>
      </c>
      <c r="T69" s="192">
        <v>0</v>
      </c>
      <c r="U69" s="192">
        <v>0</v>
      </c>
      <c r="V69" s="192">
        <v>0</v>
      </c>
      <c r="W69" s="192">
        <v>0</v>
      </c>
      <c r="X69" s="192">
        <v>0</v>
      </c>
      <c r="Y69" s="192">
        <v>0</v>
      </c>
    </row>
    <row r="70" spans="2:25" s="197" customFormat="1" x14ac:dyDescent="0.3">
      <c r="B70" s="194" t="s">
        <v>502</v>
      </c>
      <c r="C70" s="195"/>
      <c r="D70" s="153">
        <f t="shared" ref="D70:G70" si="72">D68 - D69</f>
        <v>110611.66308507281</v>
      </c>
      <c r="E70" s="153">
        <f t="shared" si="72"/>
        <v>-711.38405760847104</v>
      </c>
      <c r="F70" s="153">
        <f t="shared" si="72"/>
        <v>63141.954176594554</v>
      </c>
      <c r="G70" s="153">
        <f t="shared" si="72"/>
        <v>93773.594248573863</v>
      </c>
      <c r="H70" s="196"/>
      <c r="I70" s="196"/>
      <c r="J70" s="153"/>
      <c r="K70" s="195"/>
      <c r="L70" s="153">
        <f>L68 - L69</f>
        <v>29100</v>
      </c>
      <c r="M70" s="153">
        <f t="shared" ref="M70:Y70" si="73">M68 - M69</f>
        <v>28600</v>
      </c>
      <c r="N70" s="153">
        <f t="shared" si="73"/>
        <v>36600</v>
      </c>
      <c r="O70" s="153">
        <f t="shared" si="73"/>
        <v>47381</v>
      </c>
      <c r="P70" s="153">
        <f t="shared" si="73"/>
        <v>38648</v>
      </c>
      <c r="Q70" s="153">
        <f t="shared" si="73"/>
        <v>34778</v>
      </c>
      <c r="R70" s="153">
        <f t="shared" si="73"/>
        <v>54547</v>
      </c>
      <c r="S70" s="153">
        <f t="shared" si="73"/>
        <v>35814</v>
      </c>
      <c r="T70" s="153">
        <f t="shared" si="73"/>
        <v>29881</v>
      </c>
      <c r="U70" s="153">
        <f t="shared" si="73"/>
        <v>39133</v>
      </c>
      <c r="V70" s="153">
        <f t="shared" si="73"/>
        <v>33939</v>
      </c>
      <c r="W70" s="153">
        <f t="shared" si="73"/>
        <v>35366</v>
      </c>
      <c r="X70" s="153">
        <f t="shared" si="73"/>
        <v>46580</v>
      </c>
      <c r="Y70" s="153">
        <f t="shared" si="73"/>
        <v>34291</v>
      </c>
    </row>
    <row r="71" spans="2:25" hidden="1" outlineLevel="1" x14ac:dyDescent="0.3">
      <c r="B71" s="30" t="s">
        <v>427</v>
      </c>
      <c r="L71" s="32">
        <v>17771.447</v>
      </c>
      <c r="M71" s="32">
        <v>17763.451000000001</v>
      </c>
      <c r="N71" s="32">
        <v>17961.555</v>
      </c>
      <c r="O71" s="32">
        <v>17908</v>
      </c>
      <c r="P71" s="32">
        <v>17797</v>
      </c>
      <c r="Q71" s="32">
        <v>19253</v>
      </c>
      <c r="R71" s="32">
        <v>20036</v>
      </c>
      <c r="S71" s="32">
        <v>20298</v>
      </c>
      <c r="T71" s="32">
        <v>20222</v>
      </c>
      <c r="U71" s="32">
        <v>20516</v>
      </c>
      <c r="V71" s="32">
        <v>20692</v>
      </c>
      <c r="W71" s="32">
        <v>20568</v>
      </c>
      <c r="X71" s="32">
        <v>21057</v>
      </c>
      <c r="Y71" s="32">
        <v>22448</v>
      </c>
    </row>
    <row r="72" spans="2:25" hidden="1" outlineLevel="1" x14ac:dyDescent="0.3">
      <c r="B72" s="30" t="s">
        <v>428</v>
      </c>
      <c r="L72" s="32">
        <v>17811.613000000001</v>
      </c>
      <c r="M72" s="32">
        <v>17808.260999999999</v>
      </c>
      <c r="N72" s="32">
        <v>17978.7</v>
      </c>
      <c r="O72" s="32">
        <v>17930</v>
      </c>
      <c r="P72" s="32">
        <v>17849</v>
      </c>
      <c r="Q72" s="32">
        <v>19261</v>
      </c>
      <c r="R72" s="32">
        <v>20046</v>
      </c>
      <c r="S72" s="32">
        <v>20307</v>
      </c>
      <c r="T72" s="32">
        <v>20225</v>
      </c>
      <c r="U72" s="32">
        <v>20522</v>
      </c>
      <c r="V72" s="32">
        <v>20698</v>
      </c>
      <c r="W72" s="32">
        <v>20578</v>
      </c>
      <c r="X72" s="32">
        <v>21070</v>
      </c>
      <c r="Y72" s="32">
        <v>22453</v>
      </c>
    </row>
    <row r="73" spans="2:25" hidden="1" outlineLevel="1" x14ac:dyDescent="0.3">
      <c r="B73" s="30" t="s">
        <v>220</v>
      </c>
      <c r="L73" s="32">
        <v>18260.223999999998</v>
      </c>
      <c r="M73" s="32">
        <v>25448.274000000001</v>
      </c>
      <c r="N73" s="32">
        <v>18619.112000000001</v>
      </c>
      <c r="O73" s="32">
        <v>18583</v>
      </c>
      <c r="P73" s="32">
        <v>18521</v>
      </c>
      <c r="Q73" s="32">
        <v>19581</v>
      </c>
      <c r="R73" s="32">
        <v>20361</v>
      </c>
      <c r="S73" s="32">
        <v>20930</v>
      </c>
      <c r="T73" s="32">
        <v>20862</v>
      </c>
      <c r="U73" s="32">
        <v>20863</v>
      </c>
      <c r="V73" s="32">
        <v>21472</v>
      </c>
      <c r="W73" s="32">
        <v>21373</v>
      </c>
      <c r="X73" s="32">
        <v>25702</v>
      </c>
      <c r="Y73" s="32">
        <v>23008</v>
      </c>
    </row>
    <row r="74" spans="2:25" hidden="1" outlineLevel="1" x14ac:dyDescent="0.3">
      <c r="B74" s="30" t="s">
        <v>429</v>
      </c>
      <c r="L74" s="31">
        <v>1.64</v>
      </c>
      <c r="M74" s="31">
        <v>1.62</v>
      </c>
      <c r="N74" s="31">
        <v>2.04</v>
      </c>
      <c r="O74" s="31">
        <v>2.65</v>
      </c>
      <c r="P74" s="31">
        <v>2.09</v>
      </c>
      <c r="Q74" s="31">
        <v>1.74</v>
      </c>
      <c r="R74" s="31">
        <v>2.72</v>
      </c>
      <c r="S74" s="31">
        <v>1.7</v>
      </c>
      <c r="T74" s="31">
        <v>1.43</v>
      </c>
      <c r="U74" s="31">
        <v>1.84</v>
      </c>
      <c r="V74" s="31">
        <v>1.58</v>
      </c>
      <c r="W74" s="31">
        <v>1.65</v>
      </c>
      <c r="X74" s="31">
        <v>2.12</v>
      </c>
      <c r="Y74" s="31">
        <v>1.47</v>
      </c>
    </row>
    <row r="75" spans="2:25" hidden="1" outlineLevel="1" x14ac:dyDescent="0.3">
      <c r="B75" s="30" t="s">
        <v>430</v>
      </c>
      <c r="L75" s="31">
        <v>1.63</v>
      </c>
      <c r="M75" s="31">
        <v>1.61</v>
      </c>
      <c r="N75" s="31">
        <v>2.04</v>
      </c>
      <c r="O75" s="31">
        <v>2.64</v>
      </c>
      <c r="P75" s="31">
        <v>2.08</v>
      </c>
      <c r="Q75" s="31">
        <v>1.74</v>
      </c>
      <c r="R75" s="31">
        <v>2.72</v>
      </c>
      <c r="S75" s="31">
        <v>1.7</v>
      </c>
      <c r="T75" s="31">
        <v>1.43</v>
      </c>
      <c r="U75" s="31">
        <v>1.84</v>
      </c>
      <c r="V75" s="31">
        <v>1.58</v>
      </c>
      <c r="W75" s="31">
        <v>1.65</v>
      </c>
      <c r="X75" s="31">
        <v>2.12</v>
      </c>
      <c r="Y75" s="31">
        <v>1.47</v>
      </c>
    </row>
    <row r="76" spans="2:25" hidden="1" outlineLevel="1" x14ac:dyDescent="0.3">
      <c r="B76" s="30" t="s">
        <v>503</v>
      </c>
      <c r="L76" s="31" t="s">
        <v>207</v>
      </c>
      <c r="M76" s="31">
        <v>0.3</v>
      </c>
      <c r="N76" s="31">
        <v>0.28000000000000003</v>
      </c>
      <c r="O76" s="31">
        <v>0.26</v>
      </c>
      <c r="P76" s="31">
        <v>0.26</v>
      </c>
      <c r="Q76" s="31">
        <v>0.26</v>
      </c>
      <c r="R76" s="31">
        <v>0.26</v>
      </c>
      <c r="S76" s="31">
        <v>0.26</v>
      </c>
      <c r="T76" s="31">
        <v>0.24</v>
      </c>
      <c r="U76" s="31">
        <v>0.24</v>
      </c>
      <c r="V76" s="31">
        <v>0.24</v>
      </c>
      <c r="W76" s="31">
        <v>0.23</v>
      </c>
      <c r="X76" s="31">
        <v>0.23</v>
      </c>
      <c r="Y76" s="31">
        <v>0.22</v>
      </c>
    </row>
    <row r="77" spans="2:25" collapsed="1" x14ac:dyDescent="0.3"/>
    <row r="78" spans="2:25" s="64" customFormat="1" x14ac:dyDescent="0.3">
      <c r="B78" s="56" t="s">
        <v>223</v>
      </c>
      <c r="C78" s="3"/>
      <c r="D78" s="57"/>
      <c r="E78" s="57"/>
      <c r="F78" s="57"/>
      <c r="G78" s="57"/>
      <c r="H78" s="57"/>
      <c r="I78" s="57"/>
      <c r="J78" s="57"/>
      <c r="K78" s="3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</row>
    <row r="79" spans="2:25" hidden="1" outlineLevel="1" x14ac:dyDescent="0.3">
      <c r="B79" s="89" t="s">
        <v>225</v>
      </c>
      <c r="L79" s="32">
        <v>72700</v>
      </c>
      <c r="M79" s="32">
        <v>19200</v>
      </c>
      <c r="N79" s="32">
        <v>41000</v>
      </c>
      <c r="O79" s="32">
        <v>37740</v>
      </c>
      <c r="P79" s="32">
        <v>33623</v>
      </c>
      <c r="Q79" s="32">
        <v>32027</v>
      </c>
      <c r="R79" s="32">
        <v>41575</v>
      </c>
      <c r="S79" s="32">
        <v>33090</v>
      </c>
      <c r="T79" s="32">
        <v>66883</v>
      </c>
      <c r="U79" s="32">
        <v>26573</v>
      </c>
      <c r="V79" s="32">
        <v>33770</v>
      </c>
      <c r="W79" s="32">
        <v>22918</v>
      </c>
      <c r="X79" s="32">
        <v>24965</v>
      </c>
      <c r="Y79" s="32">
        <v>22381</v>
      </c>
    </row>
    <row r="80" spans="2:25" hidden="1" outlineLevel="1" x14ac:dyDescent="0.3">
      <c r="B80" s="89" t="s">
        <v>504</v>
      </c>
      <c r="L80" s="32">
        <v>173300</v>
      </c>
      <c r="M80" s="32">
        <v>115500</v>
      </c>
      <c r="N80" s="32">
        <v>256200</v>
      </c>
      <c r="O80" s="32">
        <v>252529</v>
      </c>
      <c r="P80" s="32">
        <v>261194</v>
      </c>
      <c r="Q80" s="32">
        <v>235609</v>
      </c>
      <c r="R80" s="32">
        <v>249706</v>
      </c>
      <c r="S80" s="32">
        <v>297885</v>
      </c>
      <c r="T80" s="32">
        <v>288200</v>
      </c>
      <c r="U80" s="32">
        <v>217378</v>
      </c>
      <c r="V80" s="32">
        <v>213772</v>
      </c>
      <c r="W80" s="32">
        <v>206292</v>
      </c>
      <c r="X80" s="32">
        <v>212304</v>
      </c>
      <c r="Y80" s="32">
        <v>209542</v>
      </c>
    </row>
    <row r="81" spans="2:25" hidden="1" outlineLevel="1" x14ac:dyDescent="0.3">
      <c r="B81" s="89" t="s">
        <v>505</v>
      </c>
      <c r="L81" s="32">
        <v>74400</v>
      </c>
      <c r="M81" s="32">
        <v>97500</v>
      </c>
      <c r="N81" s="32">
        <v>111800</v>
      </c>
      <c r="O81" s="32" t="s">
        <v>207</v>
      </c>
      <c r="P81" s="32">
        <v>101797</v>
      </c>
      <c r="Q81" s="32">
        <v>89338</v>
      </c>
      <c r="R81" s="32">
        <v>94629</v>
      </c>
      <c r="S81" s="32">
        <v>107521</v>
      </c>
      <c r="T81" s="32">
        <v>111768</v>
      </c>
      <c r="U81" s="32">
        <v>87967</v>
      </c>
      <c r="V81" s="32">
        <v>85274</v>
      </c>
      <c r="W81" s="32">
        <v>92700</v>
      </c>
      <c r="X81" s="32">
        <v>87125</v>
      </c>
      <c r="Y81" s="32">
        <v>89279</v>
      </c>
    </row>
    <row r="82" spans="2:25" hidden="1" outlineLevel="1" x14ac:dyDescent="0.3">
      <c r="B82" s="89" t="s">
        <v>506</v>
      </c>
      <c r="L82" s="32">
        <v>45600</v>
      </c>
      <c r="M82" s="32">
        <v>51200</v>
      </c>
      <c r="N82" s="32">
        <v>57000</v>
      </c>
      <c r="O82" s="32" t="s">
        <v>207</v>
      </c>
      <c r="P82" s="32">
        <v>54267</v>
      </c>
      <c r="Q82" s="32">
        <v>52118</v>
      </c>
      <c r="R82" s="32">
        <v>53884</v>
      </c>
      <c r="S82" s="32">
        <v>52013</v>
      </c>
      <c r="T82" s="32">
        <v>38523</v>
      </c>
      <c r="U82" s="32">
        <v>36293</v>
      </c>
      <c r="V82" s="32">
        <v>34881</v>
      </c>
      <c r="W82" s="32">
        <v>35548</v>
      </c>
      <c r="X82" s="32">
        <v>33651</v>
      </c>
      <c r="Y82" s="32">
        <v>34793</v>
      </c>
    </row>
    <row r="83" spans="2:25" hidden="1" outlineLevel="1" x14ac:dyDescent="0.3">
      <c r="B83" s="89" t="s">
        <v>507</v>
      </c>
      <c r="L83" s="32">
        <v>20300</v>
      </c>
      <c r="M83" s="32">
        <v>19000</v>
      </c>
      <c r="N83" s="32">
        <v>24900</v>
      </c>
      <c r="O83" s="32" t="s">
        <v>207</v>
      </c>
      <c r="P83" s="32">
        <v>22441</v>
      </c>
      <c r="Q83" s="32">
        <v>22169</v>
      </c>
      <c r="R83" s="32">
        <v>21939</v>
      </c>
      <c r="S83" s="32">
        <v>31180</v>
      </c>
      <c r="T83" s="32">
        <v>23681</v>
      </c>
      <c r="U83" s="32">
        <v>20412</v>
      </c>
      <c r="V83" s="32">
        <v>19467</v>
      </c>
      <c r="W83" s="32">
        <v>21318</v>
      </c>
      <c r="X83" s="32">
        <v>21381</v>
      </c>
      <c r="Y83" s="32">
        <v>19892</v>
      </c>
    </row>
    <row r="84" spans="2:25" hidden="1" outlineLevel="1" x14ac:dyDescent="0.3">
      <c r="B84" s="89" t="s">
        <v>508</v>
      </c>
      <c r="L84" s="32">
        <v>15700</v>
      </c>
      <c r="M84" s="32">
        <v>12800</v>
      </c>
      <c r="N84" s="32">
        <v>31000</v>
      </c>
      <c r="O84" s="32" t="s">
        <v>207</v>
      </c>
      <c r="P84" s="32">
        <v>9880</v>
      </c>
      <c r="Q84" s="32">
        <v>8826</v>
      </c>
      <c r="R84" s="32">
        <v>10818</v>
      </c>
      <c r="S84" s="32">
        <v>12666</v>
      </c>
      <c r="T84" s="32">
        <v>16643</v>
      </c>
      <c r="U84" s="32">
        <v>16486</v>
      </c>
      <c r="V84" s="32">
        <v>15538</v>
      </c>
      <c r="W84" s="32">
        <v>9464</v>
      </c>
      <c r="X84" s="32">
        <v>12039</v>
      </c>
      <c r="Y84" s="32">
        <v>12988</v>
      </c>
    </row>
    <row r="85" spans="2:25" s="39" customFormat="1" hidden="1" outlineLevel="1" x14ac:dyDescent="0.3">
      <c r="B85" s="166" t="s">
        <v>509</v>
      </c>
      <c r="C85" s="25"/>
      <c r="D85" s="53"/>
      <c r="E85" s="53"/>
      <c r="F85" s="53"/>
      <c r="G85" s="53"/>
      <c r="H85" s="53"/>
      <c r="I85" s="53"/>
      <c r="J85" s="53"/>
      <c r="K85" s="25"/>
      <c r="L85" s="53">
        <v>156000</v>
      </c>
      <c r="M85" s="53">
        <v>180500</v>
      </c>
      <c r="N85" s="53">
        <v>224700</v>
      </c>
      <c r="O85" s="53" t="s">
        <v>207</v>
      </c>
      <c r="P85" s="53">
        <v>188385</v>
      </c>
      <c r="Q85" s="53">
        <v>172451</v>
      </c>
      <c r="R85" s="53">
        <v>181270</v>
      </c>
      <c r="S85" s="53">
        <v>203380</v>
      </c>
      <c r="T85" s="53">
        <v>190615</v>
      </c>
      <c r="U85" s="53">
        <v>161158</v>
      </c>
      <c r="V85" s="53">
        <v>155160</v>
      </c>
      <c r="W85" s="53">
        <v>159030</v>
      </c>
      <c r="X85" s="53">
        <v>154196</v>
      </c>
      <c r="Y85" s="53">
        <v>156952</v>
      </c>
    </row>
    <row r="86" spans="2:25" s="187" customFormat="1" hidden="1" outlineLevel="1" x14ac:dyDescent="0.3">
      <c r="B86" s="184" t="s">
        <v>510</v>
      </c>
      <c r="C86" s="185"/>
      <c r="D86" s="186"/>
      <c r="E86" s="186"/>
      <c r="F86" s="186"/>
      <c r="G86" s="186"/>
      <c r="H86" s="186"/>
      <c r="I86" s="186"/>
      <c r="J86" s="186"/>
      <c r="K86" s="185"/>
      <c r="L86" s="186">
        <v>3500</v>
      </c>
      <c r="M86" s="186">
        <v>3400</v>
      </c>
      <c r="N86" s="186">
        <v>2500</v>
      </c>
      <c r="O86" s="186" t="s">
        <v>207</v>
      </c>
      <c r="P86" s="186">
        <v>3074</v>
      </c>
      <c r="Q86" s="186">
        <v>3133</v>
      </c>
      <c r="R86" s="186">
        <v>2931</v>
      </c>
      <c r="S86" s="186">
        <v>3221</v>
      </c>
      <c r="T86" s="186">
        <v>2943</v>
      </c>
      <c r="U86" s="186">
        <v>2616</v>
      </c>
      <c r="V86" s="186">
        <v>2366</v>
      </c>
      <c r="W86" s="186">
        <v>2736</v>
      </c>
      <c r="X86" s="186">
        <v>2541</v>
      </c>
      <c r="Y86" s="186">
        <v>2790</v>
      </c>
    </row>
    <row r="87" spans="2:25" hidden="1" outlineLevel="1" x14ac:dyDescent="0.3">
      <c r="B87" s="89" t="s">
        <v>511</v>
      </c>
      <c r="L87" s="32">
        <v>152500</v>
      </c>
      <c r="M87" s="32">
        <v>177100</v>
      </c>
      <c r="N87" s="32">
        <v>222200</v>
      </c>
      <c r="O87" s="32" t="s">
        <v>207</v>
      </c>
      <c r="P87" s="32">
        <v>185311</v>
      </c>
      <c r="Q87" s="32">
        <v>169318</v>
      </c>
      <c r="R87" s="32">
        <v>178339</v>
      </c>
      <c r="S87" s="32">
        <v>200159</v>
      </c>
      <c r="T87" s="32">
        <v>187672</v>
      </c>
      <c r="U87" s="32">
        <v>158542</v>
      </c>
      <c r="V87" s="32">
        <v>152794</v>
      </c>
      <c r="W87" s="32">
        <v>156294</v>
      </c>
      <c r="X87" s="32">
        <v>151655</v>
      </c>
      <c r="Y87" s="32">
        <v>154162</v>
      </c>
    </row>
    <row r="88" spans="2:25" hidden="1" outlineLevel="1" x14ac:dyDescent="0.3">
      <c r="B88" s="89" t="s">
        <v>512</v>
      </c>
      <c r="L88" s="32" t="s">
        <v>207</v>
      </c>
      <c r="M88" s="32" t="s">
        <v>207</v>
      </c>
      <c r="N88" s="32" t="s">
        <v>207</v>
      </c>
      <c r="O88" s="32">
        <v>191589</v>
      </c>
      <c r="P88" s="32" t="s">
        <v>207</v>
      </c>
      <c r="Q88" s="32" t="s">
        <v>207</v>
      </c>
      <c r="R88" s="32" t="s">
        <v>207</v>
      </c>
      <c r="S88" s="32" t="s">
        <v>207</v>
      </c>
      <c r="T88" s="32" t="s">
        <v>207</v>
      </c>
      <c r="U88" s="32" t="s">
        <v>207</v>
      </c>
      <c r="V88" s="32" t="s">
        <v>207</v>
      </c>
      <c r="W88" s="32" t="s">
        <v>207</v>
      </c>
      <c r="X88" s="32" t="s">
        <v>207</v>
      </c>
      <c r="Y88" s="32" t="s">
        <v>207</v>
      </c>
    </row>
    <row r="89" spans="2:25" s="187" customFormat="1" hidden="1" outlineLevel="1" x14ac:dyDescent="0.3">
      <c r="B89" s="184" t="s">
        <v>513</v>
      </c>
      <c r="C89" s="185"/>
      <c r="D89" s="186"/>
      <c r="E89" s="186"/>
      <c r="F89" s="186"/>
      <c r="G89" s="186"/>
      <c r="H89" s="186"/>
      <c r="I89" s="186"/>
      <c r="J89" s="186"/>
      <c r="K89" s="185"/>
      <c r="L89" s="186" t="s">
        <v>207</v>
      </c>
      <c r="M89" s="186" t="s">
        <v>207</v>
      </c>
      <c r="N89" s="186" t="s">
        <v>207</v>
      </c>
      <c r="O89" s="186">
        <v>3100</v>
      </c>
      <c r="P89" s="186" t="s">
        <v>207</v>
      </c>
      <c r="Q89" s="186" t="s">
        <v>207</v>
      </c>
      <c r="R89" s="186" t="s">
        <v>207</v>
      </c>
      <c r="S89" s="186" t="s">
        <v>207</v>
      </c>
      <c r="T89" s="186" t="s">
        <v>207</v>
      </c>
      <c r="U89" s="186" t="s">
        <v>207</v>
      </c>
      <c r="V89" s="186" t="s">
        <v>207</v>
      </c>
      <c r="W89" s="186" t="s">
        <v>207</v>
      </c>
      <c r="X89" s="186" t="s">
        <v>207</v>
      </c>
      <c r="Y89" s="186" t="s">
        <v>207</v>
      </c>
    </row>
    <row r="90" spans="2:25" s="39" customFormat="1" hidden="1" outlineLevel="1" x14ac:dyDescent="0.3">
      <c r="B90" s="166" t="s">
        <v>511</v>
      </c>
      <c r="C90" s="25"/>
      <c r="D90" s="53"/>
      <c r="E90" s="53"/>
      <c r="F90" s="53"/>
      <c r="G90" s="53"/>
      <c r="H90" s="53"/>
      <c r="I90" s="53"/>
      <c r="J90" s="53"/>
      <c r="K90" s="25"/>
      <c r="L90" s="53" t="s">
        <v>207</v>
      </c>
      <c r="M90" s="53" t="s">
        <v>207</v>
      </c>
      <c r="N90" s="53" t="s">
        <v>207</v>
      </c>
      <c r="O90" s="53">
        <v>188489</v>
      </c>
      <c r="P90" s="53" t="s">
        <v>207</v>
      </c>
      <c r="Q90" s="53" t="s">
        <v>207</v>
      </c>
      <c r="R90" s="53" t="s">
        <v>207</v>
      </c>
      <c r="S90" s="53" t="s">
        <v>207</v>
      </c>
      <c r="T90" s="53" t="s">
        <v>207</v>
      </c>
      <c r="U90" s="53" t="s">
        <v>207</v>
      </c>
      <c r="V90" s="53" t="s">
        <v>207</v>
      </c>
      <c r="W90" s="53" t="s">
        <v>207</v>
      </c>
      <c r="X90" s="53" t="s">
        <v>207</v>
      </c>
      <c r="Y90" s="53" t="s">
        <v>207</v>
      </c>
    </row>
    <row r="91" spans="2:25" hidden="1" outlineLevel="1" x14ac:dyDescent="0.3">
      <c r="B91" s="89" t="s">
        <v>514</v>
      </c>
      <c r="L91" s="32" t="s">
        <v>207</v>
      </c>
      <c r="M91" s="32" t="s">
        <v>207</v>
      </c>
      <c r="N91" s="32" t="s">
        <v>207</v>
      </c>
      <c r="O91" s="32" t="s">
        <v>207</v>
      </c>
      <c r="P91" s="32">
        <v>1303397</v>
      </c>
      <c r="Q91" s="32">
        <v>1170844</v>
      </c>
      <c r="R91" s="32">
        <v>1169356</v>
      </c>
      <c r="S91" s="32">
        <v>1237012</v>
      </c>
      <c r="T91" s="32">
        <v>1095792</v>
      </c>
      <c r="U91" s="32">
        <v>1279416</v>
      </c>
      <c r="V91" s="32">
        <v>1239905</v>
      </c>
      <c r="W91" s="32">
        <v>1166128</v>
      </c>
      <c r="X91" s="32">
        <v>1258485</v>
      </c>
      <c r="Y91" s="32">
        <v>1304103</v>
      </c>
    </row>
    <row r="92" spans="2:25" hidden="1" outlineLevel="1" x14ac:dyDescent="0.3">
      <c r="B92" s="89" t="s">
        <v>515</v>
      </c>
      <c r="L92" s="32" t="s">
        <v>207</v>
      </c>
      <c r="M92" s="32" t="s">
        <v>207</v>
      </c>
      <c r="N92" s="32" t="s">
        <v>207</v>
      </c>
      <c r="O92" s="32" t="s">
        <v>207</v>
      </c>
      <c r="P92" s="32">
        <v>343033</v>
      </c>
      <c r="Q92" s="32">
        <v>359997</v>
      </c>
      <c r="R92" s="32">
        <v>350803</v>
      </c>
      <c r="S92" s="32">
        <v>359725</v>
      </c>
      <c r="T92" s="32">
        <v>344271</v>
      </c>
      <c r="U92" s="32">
        <v>313612</v>
      </c>
      <c r="V92" s="32">
        <v>293647</v>
      </c>
      <c r="W92" s="32">
        <v>315277</v>
      </c>
      <c r="X92" s="32">
        <v>316070</v>
      </c>
      <c r="Y92" s="32">
        <v>309969</v>
      </c>
    </row>
    <row r="93" spans="2:25" hidden="1" outlineLevel="1" x14ac:dyDescent="0.3">
      <c r="B93" s="89" t="s">
        <v>516</v>
      </c>
      <c r="L93" s="32" t="s">
        <v>207</v>
      </c>
      <c r="M93" s="32" t="s">
        <v>207</v>
      </c>
      <c r="N93" s="32" t="s">
        <v>207</v>
      </c>
      <c r="O93" s="32" t="s">
        <v>207</v>
      </c>
      <c r="P93" s="32">
        <v>143372</v>
      </c>
      <c r="Q93" s="32">
        <v>132113</v>
      </c>
      <c r="R93" s="32">
        <v>130632</v>
      </c>
      <c r="S93" s="32">
        <v>136809</v>
      </c>
      <c r="T93" s="32">
        <v>138501</v>
      </c>
      <c r="U93" s="32">
        <v>141215</v>
      </c>
      <c r="V93" s="32">
        <v>127109</v>
      </c>
      <c r="W93" s="32">
        <v>137600</v>
      </c>
      <c r="X93" s="32">
        <v>142626</v>
      </c>
      <c r="Y93" s="32">
        <v>145780</v>
      </c>
    </row>
    <row r="94" spans="2:25" hidden="1" outlineLevel="1" x14ac:dyDescent="0.3">
      <c r="B94" s="89" t="s">
        <v>517</v>
      </c>
      <c r="L94" s="32" t="s">
        <v>207</v>
      </c>
      <c r="M94" s="32" t="s">
        <v>207</v>
      </c>
      <c r="N94" s="32" t="s">
        <v>207</v>
      </c>
      <c r="O94" s="32" t="s">
        <v>207</v>
      </c>
      <c r="P94" s="32">
        <v>79629</v>
      </c>
      <c r="Q94" s="32">
        <v>80133</v>
      </c>
      <c r="R94" s="32">
        <v>80392</v>
      </c>
      <c r="S94" s="32">
        <v>80632</v>
      </c>
      <c r="T94" s="32">
        <v>81912</v>
      </c>
      <c r="U94" s="32">
        <v>78676</v>
      </c>
      <c r="V94" s="32">
        <v>77265</v>
      </c>
      <c r="W94" s="32">
        <v>75986</v>
      </c>
      <c r="X94" s="32">
        <v>74964</v>
      </c>
      <c r="Y94" s="32">
        <v>74133</v>
      </c>
    </row>
    <row r="95" spans="2:25" hidden="1" outlineLevel="1" x14ac:dyDescent="0.3">
      <c r="B95" s="89" t="s">
        <v>518</v>
      </c>
      <c r="L95" s="32" t="s">
        <v>207</v>
      </c>
      <c r="M95" s="32" t="s">
        <v>207</v>
      </c>
      <c r="N95" s="32" t="s">
        <v>207</v>
      </c>
      <c r="O95" s="32" t="s">
        <v>207</v>
      </c>
      <c r="P95" s="32">
        <v>1869431</v>
      </c>
      <c r="Q95" s="32">
        <v>1743087</v>
      </c>
      <c r="R95" s="32">
        <v>1731183</v>
      </c>
      <c r="S95" s="32">
        <v>1814178</v>
      </c>
      <c r="T95" s="32">
        <v>1660476</v>
      </c>
      <c r="U95" s="32">
        <v>1812919</v>
      </c>
      <c r="V95" s="32">
        <v>1737926</v>
      </c>
      <c r="W95" s="32">
        <v>1694991</v>
      </c>
      <c r="X95" s="32">
        <v>1792145</v>
      </c>
      <c r="Y95" s="32">
        <v>1833985</v>
      </c>
    </row>
    <row r="96" spans="2:25" s="187" customFormat="1" hidden="1" outlineLevel="1" x14ac:dyDescent="0.3">
      <c r="B96" s="184" t="s">
        <v>519</v>
      </c>
      <c r="C96" s="185"/>
      <c r="D96" s="186"/>
      <c r="E96" s="186"/>
      <c r="F96" s="186"/>
      <c r="G96" s="186"/>
      <c r="H96" s="186"/>
      <c r="I96" s="186"/>
      <c r="J96" s="186"/>
      <c r="K96" s="185"/>
      <c r="L96" s="186" t="s">
        <v>207</v>
      </c>
      <c r="M96" s="186" t="s">
        <v>207</v>
      </c>
      <c r="N96" s="186" t="s">
        <v>207</v>
      </c>
      <c r="O96" s="186" t="s">
        <v>207</v>
      </c>
      <c r="P96" s="186">
        <v>8524</v>
      </c>
      <c r="Q96" s="186">
        <v>9331</v>
      </c>
      <c r="R96" s="186">
        <v>9934</v>
      </c>
      <c r="S96" s="186">
        <v>10002</v>
      </c>
      <c r="T96" s="186">
        <v>8687</v>
      </c>
      <c r="U96" s="186">
        <v>9010</v>
      </c>
      <c r="V96" s="186">
        <v>8401</v>
      </c>
      <c r="W96" s="186">
        <v>7612</v>
      </c>
      <c r="X96" s="186">
        <v>8031</v>
      </c>
      <c r="Y96" s="186">
        <v>7454</v>
      </c>
    </row>
    <row r="97" spans="2:25" s="39" customFormat="1" hidden="1" outlineLevel="1" x14ac:dyDescent="0.3">
      <c r="B97" s="166" t="s">
        <v>520</v>
      </c>
      <c r="C97" s="25"/>
      <c r="D97" s="53"/>
      <c r="E97" s="53"/>
      <c r="F97" s="53"/>
      <c r="G97" s="53"/>
      <c r="H97" s="53"/>
      <c r="I97" s="53"/>
      <c r="J97" s="53"/>
      <c r="K97" s="25"/>
      <c r="L97" s="53">
        <v>1327100</v>
      </c>
      <c r="M97" s="53">
        <v>1992600</v>
      </c>
      <c r="N97" s="53">
        <v>1792700</v>
      </c>
      <c r="O97" s="53">
        <v>1793671</v>
      </c>
      <c r="P97" s="53">
        <v>1860907</v>
      </c>
      <c r="Q97" s="53">
        <v>1733756</v>
      </c>
      <c r="R97" s="53">
        <v>1721249</v>
      </c>
      <c r="S97" s="53">
        <v>1804176</v>
      </c>
      <c r="T97" s="53">
        <v>1651789</v>
      </c>
      <c r="U97" s="53">
        <v>1803909</v>
      </c>
      <c r="V97" s="53">
        <v>1729525</v>
      </c>
      <c r="W97" s="53">
        <v>1687379</v>
      </c>
      <c r="X97" s="53">
        <v>1784114</v>
      </c>
      <c r="Y97" s="53">
        <v>1826531</v>
      </c>
    </row>
    <row r="98" spans="2:25" hidden="1" outlineLevel="1" x14ac:dyDescent="0.3">
      <c r="B98" s="89" t="s">
        <v>349</v>
      </c>
      <c r="L98" s="32">
        <v>88000</v>
      </c>
      <c r="M98" s="32">
        <v>82600</v>
      </c>
      <c r="N98" s="32" t="s">
        <v>207</v>
      </c>
      <c r="O98" s="32" t="s">
        <v>207</v>
      </c>
      <c r="P98" s="32" t="s">
        <v>207</v>
      </c>
      <c r="Q98" s="32" t="s">
        <v>207</v>
      </c>
      <c r="R98" s="32" t="s">
        <v>207</v>
      </c>
      <c r="S98" s="32" t="s">
        <v>207</v>
      </c>
      <c r="T98" s="32" t="s">
        <v>207</v>
      </c>
      <c r="U98" s="32" t="s">
        <v>207</v>
      </c>
      <c r="V98" s="32" t="s">
        <v>207</v>
      </c>
      <c r="W98" s="32" t="s">
        <v>207</v>
      </c>
      <c r="X98" s="32" t="s">
        <v>207</v>
      </c>
      <c r="Y98" s="32" t="s">
        <v>207</v>
      </c>
    </row>
    <row r="99" spans="2:25" hidden="1" outlineLevel="1" x14ac:dyDescent="0.3">
      <c r="B99" s="89" t="s">
        <v>436</v>
      </c>
      <c r="L99" s="32" t="s">
        <v>207</v>
      </c>
      <c r="M99" s="32" t="s">
        <v>207</v>
      </c>
      <c r="N99" s="32">
        <v>74400</v>
      </c>
      <c r="O99" s="32">
        <v>89705</v>
      </c>
      <c r="P99" s="32">
        <v>92036</v>
      </c>
      <c r="Q99" s="32">
        <v>77996</v>
      </c>
      <c r="R99" s="32">
        <v>80957</v>
      </c>
      <c r="S99" s="32">
        <v>77888</v>
      </c>
      <c r="T99" s="32">
        <v>38111</v>
      </c>
      <c r="U99" s="32">
        <v>87470</v>
      </c>
      <c r="V99" s="32">
        <v>23216</v>
      </c>
      <c r="W99" s="32">
        <v>25555</v>
      </c>
      <c r="X99" s="32">
        <v>28919</v>
      </c>
      <c r="Y99" s="32">
        <v>41463</v>
      </c>
    </row>
    <row r="100" spans="2:25" hidden="1" outlineLevel="1" x14ac:dyDescent="0.3">
      <c r="B100" s="89" t="s">
        <v>521</v>
      </c>
      <c r="L100" s="32">
        <v>21100</v>
      </c>
      <c r="M100" s="32">
        <v>12300</v>
      </c>
      <c r="N100" s="32" t="s">
        <v>207</v>
      </c>
      <c r="O100" s="32" t="s">
        <v>207</v>
      </c>
      <c r="P100" s="32" t="s">
        <v>207</v>
      </c>
      <c r="Q100" s="32" t="s">
        <v>207</v>
      </c>
      <c r="R100" s="32" t="s">
        <v>207</v>
      </c>
      <c r="S100" s="32" t="s">
        <v>207</v>
      </c>
      <c r="T100" s="32" t="s">
        <v>207</v>
      </c>
      <c r="U100" s="32" t="s">
        <v>207</v>
      </c>
      <c r="V100" s="32" t="s">
        <v>207</v>
      </c>
      <c r="W100" s="32" t="s">
        <v>207</v>
      </c>
      <c r="X100" s="32" t="s">
        <v>207</v>
      </c>
      <c r="Y100" s="32" t="s">
        <v>207</v>
      </c>
    </row>
    <row r="101" spans="2:25" s="187" customFormat="1" collapsed="1" x14ac:dyDescent="0.3">
      <c r="B101" s="208" t="s">
        <v>437</v>
      </c>
      <c r="C101" s="185"/>
      <c r="D101" s="204">
        <f>D28 * SUM(D$43:D$46)</f>
        <v>2460878.3830742263</v>
      </c>
      <c r="E101" s="204">
        <f>E28 * SUM(E$43:E$46)</f>
        <v>1735987.7248085628</v>
      </c>
      <c r="F101" s="204">
        <f>F28 * SUM(F$43:F$46)</f>
        <v>2359424.2358738887</v>
      </c>
      <c r="G101" s="204">
        <f>G28 * SUM(G$43:G$46)</f>
        <v>2396046.7602889994</v>
      </c>
      <c r="H101" s="205"/>
      <c r="I101" s="206"/>
      <c r="J101" s="207"/>
      <c r="K101" s="185"/>
      <c r="L101" s="204">
        <f>SUM(L79,L80,L87,L90,L97, L98,L99,L100)</f>
        <v>1834700</v>
      </c>
      <c r="M101" s="204">
        <f t="shared" ref="M101:Y101" si="74">SUM(M79,M80,M87,M90,M97, M98,M99,M100)</f>
        <v>2399300</v>
      </c>
      <c r="N101" s="204">
        <f t="shared" si="74"/>
        <v>2386500</v>
      </c>
      <c r="O101" s="204">
        <f t="shared" si="74"/>
        <v>2362134</v>
      </c>
      <c r="P101" s="204">
        <f t="shared" si="74"/>
        <v>2433071</v>
      </c>
      <c r="Q101" s="204">
        <f t="shared" si="74"/>
        <v>2248706</v>
      </c>
      <c r="R101" s="204">
        <f t="shared" si="74"/>
        <v>2271826</v>
      </c>
      <c r="S101" s="204">
        <f t="shared" si="74"/>
        <v>2413198</v>
      </c>
      <c r="T101" s="204">
        <f t="shared" si="74"/>
        <v>2232655</v>
      </c>
      <c r="U101" s="204">
        <f t="shared" si="74"/>
        <v>2293872</v>
      </c>
      <c r="V101" s="204">
        <f t="shared" si="74"/>
        <v>2153077</v>
      </c>
      <c r="W101" s="204">
        <f t="shared" si="74"/>
        <v>2098438</v>
      </c>
      <c r="X101" s="204">
        <f t="shared" si="74"/>
        <v>2201957</v>
      </c>
      <c r="Y101" s="204">
        <f t="shared" si="74"/>
        <v>2254079</v>
      </c>
    </row>
    <row r="102" spans="2:25" hidden="1" outlineLevel="1" x14ac:dyDescent="0.3">
      <c r="B102" s="89" t="s">
        <v>522</v>
      </c>
      <c r="L102" s="32" t="s">
        <v>207</v>
      </c>
      <c r="M102" s="32" t="s">
        <v>207</v>
      </c>
      <c r="N102" s="32" t="s">
        <v>207</v>
      </c>
      <c r="O102" s="32" t="s">
        <v>207</v>
      </c>
      <c r="P102" s="32">
        <v>499272</v>
      </c>
      <c r="Q102" s="32">
        <v>489401</v>
      </c>
      <c r="R102" s="32">
        <v>478589</v>
      </c>
      <c r="S102" s="32">
        <v>485938</v>
      </c>
      <c r="T102" s="32">
        <v>448554</v>
      </c>
      <c r="U102" s="32">
        <v>414616</v>
      </c>
      <c r="V102" s="32">
        <v>409022</v>
      </c>
      <c r="W102" s="32">
        <v>395358</v>
      </c>
      <c r="X102" s="32">
        <v>378715</v>
      </c>
      <c r="Y102" s="32">
        <v>374545</v>
      </c>
    </row>
    <row r="103" spans="2:25" hidden="1" outlineLevel="1" x14ac:dyDescent="0.3">
      <c r="B103" s="89" t="s">
        <v>523</v>
      </c>
      <c r="L103" s="32" t="s">
        <v>207</v>
      </c>
      <c r="M103" s="32" t="s">
        <v>207</v>
      </c>
      <c r="N103" s="32" t="s">
        <v>207</v>
      </c>
      <c r="O103" s="32" t="s">
        <v>207</v>
      </c>
      <c r="P103" s="32">
        <v>739702</v>
      </c>
      <c r="Q103" s="32">
        <v>717354</v>
      </c>
      <c r="R103" s="32">
        <v>724451</v>
      </c>
      <c r="S103" s="32">
        <v>721033</v>
      </c>
      <c r="T103" s="32">
        <v>669416</v>
      </c>
      <c r="U103" s="32">
        <v>578768</v>
      </c>
      <c r="V103" s="32">
        <v>559733</v>
      </c>
      <c r="W103" s="32">
        <v>545669</v>
      </c>
      <c r="X103" s="32">
        <v>525097</v>
      </c>
      <c r="Y103" s="32">
        <v>511857</v>
      </c>
    </row>
    <row r="104" spans="2:25" hidden="1" outlineLevel="1" x14ac:dyDescent="0.3">
      <c r="B104" s="89" t="s">
        <v>524</v>
      </c>
      <c r="L104" s="32" t="s">
        <v>207</v>
      </c>
      <c r="M104" s="32" t="s">
        <v>207</v>
      </c>
      <c r="N104" s="32" t="s">
        <v>207</v>
      </c>
      <c r="O104" s="32" t="s">
        <v>207</v>
      </c>
      <c r="P104" s="32">
        <v>186382</v>
      </c>
      <c r="Q104" s="32">
        <v>189059</v>
      </c>
      <c r="R104" s="32">
        <v>185528</v>
      </c>
      <c r="S104" s="32">
        <v>177869</v>
      </c>
      <c r="T104" s="32">
        <v>181336</v>
      </c>
      <c r="U104" s="32">
        <v>186444</v>
      </c>
      <c r="V104" s="32">
        <v>168101</v>
      </c>
      <c r="W104" s="32">
        <v>169742</v>
      </c>
      <c r="X104" s="32">
        <v>160866</v>
      </c>
      <c r="Y104" s="32">
        <v>159267</v>
      </c>
    </row>
    <row r="105" spans="2:25" hidden="1" outlineLevel="1" x14ac:dyDescent="0.3">
      <c r="B105" s="89" t="s">
        <v>525</v>
      </c>
      <c r="L105" s="32" t="s">
        <v>207</v>
      </c>
      <c r="M105" s="32" t="s">
        <v>207</v>
      </c>
      <c r="N105" s="32" t="s">
        <v>207</v>
      </c>
      <c r="O105" s="32" t="s">
        <v>207</v>
      </c>
      <c r="P105" s="32">
        <v>128347</v>
      </c>
      <c r="Q105" s="32">
        <v>123388</v>
      </c>
      <c r="R105" s="32">
        <v>122734</v>
      </c>
      <c r="S105" s="32">
        <v>120626</v>
      </c>
      <c r="T105" s="32">
        <v>116174</v>
      </c>
      <c r="U105" s="32">
        <v>111310</v>
      </c>
      <c r="V105" s="32">
        <v>104156</v>
      </c>
      <c r="W105" s="32">
        <v>98341</v>
      </c>
      <c r="X105" s="32">
        <v>96562</v>
      </c>
      <c r="Y105" s="32">
        <v>95613</v>
      </c>
    </row>
    <row r="106" spans="2:25" hidden="1" outlineLevel="1" x14ac:dyDescent="0.3">
      <c r="B106" s="89" t="s">
        <v>526</v>
      </c>
      <c r="L106" s="32" t="s">
        <v>207</v>
      </c>
      <c r="M106" s="32" t="s">
        <v>207</v>
      </c>
      <c r="N106" s="32" t="s">
        <v>207</v>
      </c>
      <c r="O106" s="32" t="s">
        <v>207</v>
      </c>
      <c r="P106" s="32">
        <v>112909</v>
      </c>
      <c r="Q106" s="32">
        <v>109031</v>
      </c>
      <c r="R106" s="32">
        <v>107528</v>
      </c>
      <c r="S106" s="32">
        <v>105632</v>
      </c>
      <c r="T106" s="32">
        <v>99880</v>
      </c>
      <c r="U106" s="32">
        <v>93760</v>
      </c>
      <c r="V106" s="32">
        <v>90503</v>
      </c>
      <c r="W106" s="32">
        <v>87603</v>
      </c>
      <c r="X106" s="32">
        <v>86882</v>
      </c>
      <c r="Y106" s="32">
        <v>86683</v>
      </c>
    </row>
    <row r="107" spans="2:25" hidden="1" outlineLevel="1" x14ac:dyDescent="0.3">
      <c r="B107" s="89" t="s">
        <v>527</v>
      </c>
      <c r="L107" s="32" t="s">
        <v>207</v>
      </c>
      <c r="M107" s="32" t="s">
        <v>207</v>
      </c>
      <c r="N107" s="32" t="s">
        <v>207</v>
      </c>
      <c r="O107" s="32" t="s">
        <v>207</v>
      </c>
      <c r="P107" s="32">
        <v>14871</v>
      </c>
      <c r="Q107" s="32">
        <v>12488</v>
      </c>
      <c r="R107" s="32">
        <v>12236</v>
      </c>
      <c r="S107" s="32">
        <v>12157</v>
      </c>
      <c r="T107" s="32">
        <v>11691</v>
      </c>
      <c r="U107" s="32">
        <v>11757</v>
      </c>
      <c r="V107" s="32">
        <v>11904</v>
      </c>
      <c r="W107" s="32">
        <v>11714</v>
      </c>
      <c r="X107" s="32">
        <v>11789</v>
      </c>
      <c r="Y107" s="32">
        <v>11890</v>
      </c>
    </row>
    <row r="108" spans="2:25" hidden="1" outlineLevel="1" x14ac:dyDescent="0.3">
      <c r="B108" s="89" t="s">
        <v>528</v>
      </c>
      <c r="L108" s="32" t="s">
        <v>207</v>
      </c>
      <c r="M108" s="32" t="s">
        <v>207</v>
      </c>
      <c r="N108" s="32" t="s">
        <v>207</v>
      </c>
      <c r="O108" s="32" t="s">
        <v>207</v>
      </c>
      <c r="P108" s="32">
        <v>48372</v>
      </c>
      <c r="Q108" s="32">
        <v>46196</v>
      </c>
      <c r="R108" s="32">
        <v>48886</v>
      </c>
      <c r="S108" s="32">
        <v>55837</v>
      </c>
      <c r="T108" s="32">
        <v>44323</v>
      </c>
      <c r="U108" s="32">
        <v>61602</v>
      </c>
      <c r="V108" s="32">
        <v>86190</v>
      </c>
      <c r="W108" s="32">
        <v>69511</v>
      </c>
      <c r="X108" s="32">
        <v>72906</v>
      </c>
      <c r="Y108" s="32">
        <v>68178</v>
      </c>
    </row>
    <row r="109" spans="2:25" hidden="1" outlineLevel="1" x14ac:dyDescent="0.3">
      <c r="B109" s="89" t="s">
        <v>529</v>
      </c>
      <c r="D109" s="32">
        <f>D30 * SUM(D$43:D$46)</f>
        <v>1909243.8387172427</v>
      </c>
      <c r="E109" s="32">
        <f t="shared" ref="E109:G109" si="75">E30 * SUM(E$43:E$46)</f>
        <v>1286994.1102375337</v>
      </c>
      <c r="F109" s="32">
        <f t="shared" si="75"/>
        <v>1629175.1464932172</v>
      </c>
      <c r="G109" s="32">
        <f t="shared" si="75"/>
        <v>1886236.7989250661</v>
      </c>
      <c r="L109" s="32">
        <v>1970500</v>
      </c>
      <c r="M109" s="32">
        <v>1954700</v>
      </c>
      <c r="N109" s="32">
        <v>1865300</v>
      </c>
      <c r="O109" s="32">
        <v>1792086</v>
      </c>
      <c r="P109" s="32">
        <v>1729855</v>
      </c>
      <c r="Q109" s="32">
        <v>1686917</v>
      </c>
      <c r="R109" s="32">
        <v>1679952</v>
      </c>
      <c r="S109" s="32">
        <v>1679092</v>
      </c>
      <c r="T109" s="32">
        <v>1571374</v>
      </c>
      <c r="U109" s="32">
        <v>1458257</v>
      </c>
      <c r="V109" s="32">
        <v>1429609</v>
      </c>
      <c r="W109" s="32">
        <v>1377938</v>
      </c>
      <c r="X109" s="32">
        <v>1332817</v>
      </c>
      <c r="Y109" s="32">
        <v>1308033</v>
      </c>
    </row>
    <row r="110" spans="2:25" hidden="1" outlineLevel="1" x14ac:dyDescent="0.3">
      <c r="B110" s="89" t="s">
        <v>530</v>
      </c>
      <c r="L110" s="32">
        <v>421600</v>
      </c>
      <c r="M110" s="32">
        <v>405700</v>
      </c>
      <c r="N110" s="32">
        <v>380500</v>
      </c>
      <c r="O110" s="32">
        <v>369100</v>
      </c>
      <c r="P110" s="32" t="s">
        <v>207</v>
      </c>
      <c r="Q110" s="32">
        <v>335988</v>
      </c>
      <c r="R110" s="32">
        <v>331431</v>
      </c>
      <c r="S110" s="32">
        <v>321222</v>
      </c>
      <c r="T110" s="32">
        <v>301977</v>
      </c>
      <c r="U110" s="32">
        <v>290912</v>
      </c>
      <c r="V110" s="32">
        <v>277214</v>
      </c>
      <c r="W110" s="32">
        <v>259153</v>
      </c>
      <c r="X110" s="32">
        <v>251585</v>
      </c>
      <c r="Y110" s="32">
        <v>244181</v>
      </c>
    </row>
    <row r="111" spans="2:25" hidden="1" outlineLevel="1" x14ac:dyDescent="0.3">
      <c r="B111" s="89" t="s">
        <v>531</v>
      </c>
      <c r="L111" s="32" t="s">
        <v>207</v>
      </c>
      <c r="M111" s="32" t="s">
        <v>207</v>
      </c>
      <c r="N111" s="32" t="s">
        <v>207</v>
      </c>
      <c r="O111" s="32" t="s">
        <v>207</v>
      </c>
      <c r="P111" s="32">
        <v>359112</v>
      </c>
      <c r="Q111" s="32" t="s">
        <v>207</v>
      </c>
      <c r="R111" s="32" t="s">
        <v>207</v>
      </c>
      <c r="S111" s="32" t="s">
        <v>207</v>
      </c>
      <c r="T111" s="32" t="s">
        <v>207</v>
      </c>
      <c r="U111" s="32" t="s">
        <v>207</v>
      </c>
      <c r="V111" s="32" t="s">
        <v>207</v>
      </c>
      <c r="W111" s="32" t="s">
        <v>207</v>
      </c>
      <c r="X111" s="32" t="s">
        <v>207</v>
      </c>
      <c r="Y111" s="32" t="s">
        <v>207</v>
      </c>
    </row>
    <row r="112" spans="2:25" hidden="1" outlineLevel="1" x14ac:dyDescent="0.3">
      <c r="B112" s="89" t="s">
        <v>532</v>
      </c>
      <c r="L112" s="32">
        <v>1548900</v>
      </c>
      <c r="M112" s="32">
        <v>1549000</v>
      </c>
      <c r="N112" s="32">
        <v>1484800</v>
      </c>
      <c r="O112" s="32">
        <v>1422986</v>
      </c>
      <c r="P112" s="32">
        <v>1370743</v>
      </c>
      <c r="Q112" s="32">
        <v>1350929</v>
      </c>
      <c r="R112" s="32">
        <v>1348521</v>
      </c>
      <c r="S112" s="32">
        <v>1357870</v>
      </c>
      <c r="T112" s="32">
        <v>1269397</v>
      </c>
      <c r="U112" s="32">
        <v>1167345</v>
      </c>
      <c r="V112" s="32">
        <v>1152395</v>
      </c>
      <c r="W112" s="32">
        <v>1118785</v>
      </c>
      <c r="X112" s="32">
        <v>1081232</v>
      </c>
      <c r="Y112" s="32">
        <v>1063852</v>
      </c>
    </row>
    <row r="113" spans="2:25" hidden="1" outlineLevel="1" x14ac:dyDescent="0.3">
      <c r="B113" s="89" t="s">
        <v>533</v>
      </c>
      <c r="L113" s="32">
        <v>219100</v>
      </c>
      <c r="M113" s="32">
        <v>218700</v>
      </c>
      <c r="N113" s="32">
        <v>204700</v>
      </c>
      <c r="O113" s="32">
        <v>202719</v>
      </c>
      <c r="P113" s="32">
        <v>214776</v>
      </c>
      <c r="Q113" s="32" t="s">
        <v>207</v>
      </c>
      <c r="R113" s="32" t="s">
        <v>207</v>
      </c>
      <c r="S113" s="32" t="s">
        <v>207</v>
      </c>
      <c r="T113" s="32" t="s">
        <v>207</v>
      </c>
      <c r="U113" s="32" t="s">
        <v>207</v>
      </c>
      <c r="V113" s="32" t="s">
        <v>207</v>
      </c>
      <c r="W113" s="32" t="s">
        <v>207</v>
      </c>
      <c r="X113" s="32" t="s">
        <v>207</v>
      </c>
      <c r="Y113" s="32" t="s">
        <v>207</v>
      </c>
    </row>
    <row r="114" spans="2:25" hidden="1" outlineLevel="1" x14ac:dyDescent="0.3">
      <c r="B114" s="89" t="s">
        <v>242</v>
      </c>
      <c r="L114" s="32">
        <v>989700</v>
      </c>
      <c r="M114" s="32">
        <v>999800</v>
      </c>
      <c r="N114" s="32">
        <v>979000</v>
      </c>
      <c r="O114" s="32">
        <v>963502</v>
      </c>
      <c r="P114" s="32">
        <v>965882</v>
      </c>
      <c r="Q114" s="32">
        <v>968771</v>
      </c>
      <c r="R114" s="32">
        <v>945835</v>
      </c>
      <c r="S114" s="32">
        <v>960110</v>
      </c>
      <c r="T114" s="32">
        <v>914224</v>
      </c>
      <c r="U114" s="32">
        <v>878776</v>
      </c>
      <c r="V114" s="32">
        <v>877040</v>
      </c>
      <c r="W114" s="32">
        <v>880393</v>
      </c>
      <c r="X114" s="32">
        <v>881981</v>
      </c>
      <c r="Y114" s="32">
        <v>886293</v>
      </c>
    </row>
    <row r="115" spans="2:25" hidden="1" outlineLevel="1" x14ac:dyDescent="0.3">
      <c r="B115" s="89" t="s">
        <v>534</v>
      </c>
      <c r="L115" s="32">
        <v>240500</v>
      </c>
      <c r="M115" s="32">
        <v>251700</v>
      </c>
      <c r="N115" s="32">
        <v>252900</v>
      </c>
      <c r="O115" s="32">
        <v>259540</v>
      </c>
      <c r="P115" s="32">
        <v>260465</v>
      </c>
      <c r="Q115" s="32">
        <v>276285</v>
      </c>
      <c r="R115" s="32">
        <v>287366</v>
      </c>
      <c r="S115" s="32">
        <v>295626</v>
      </c>
      <c r="T115" s="32">
        <v>294120</v>
      </c>
      <c r="U115" s="32">
        <v>285689</v>
      </c>
      <c r="V115" s="32">
        <v>285311</v>
      </c>
      <c r="W115" s="32">
        <v>310513</v>
      </c>
      <c r="X115" s="32">
        <v>322974</v>
      </c>
      <c r="Y115" s="32">
        <v>319895</v>
      </c>
    </row>
    <row r="116" spans="2:25" hidden="1" outlineLevel="1" x14ac:dyDescent="0.3">
      <c r="B116" s="89" t="s">
        <v>535</v>
      </c>
      <c r="L116" s="32">
        <v>26700</v>
      </c>
      <c r="M116" s="32">
        <v>22500</v>
      </c>
      <c r="N116" s="32">
        <v>21100</v>
      </c>
      <c r="O116" s="32">
        <v>14880</v>
      </c>
      <c r="P116" s="32">
        <v>18554</v>
      </c>
      <c r="Q116" s="32">
        <v>36175</v>
      </c>
      <c r="R116" s="32">
        <v>33194</v>
      </c>
      <c r="S116" s="32">
        <v>31674</v>
      </c>
      <c r="T116" s="32">
        <v>20598</v>
      </c>
      <c r="U116" s="32">
        <v>18903</v>
      </c>
      <c r="V116" s="32">
        <v>21540</v>
      </c>
      <c r="W116" s="32">
        <v>12935</v>
      </c>
      <c r="X116" s="32">
        <v>12656</v>
      </c>
      <c r="Y116" s="32">
        <v>9727</v>
      </c>
    </row>
    <row r="117" spans="2:25" s="187" customFormat="1" collapsed="1" x14ac:dyDescent="0.3">
      <c r="B117" s="208" t="s">
        <v>536</v>
      </c>
      <c r="C117" s="185"/>
      <c r="D117" s="204">
        <f ca="1">D29 * SUM(D$43:D$46)</f>
        <v>3042395.7587839267</v>
      </c>
      <c r="E117" s="204">
        <f ca="1">E29 * SUM(E$43:E$46)</f>
        <v>2050835.6990154232</v>
      </c>
      <c r="F117" s="204">
        <f ca="1">F29 * SUM(F$43:F$46)</f>
        <v>2596103.9944155682</v>
      </c>
      <c r="G117" s="204">
        <f ca="1">G29 * SUM(G$43:G$46)</f>
        <v>3005733.8516631899</v>
      </c>
      <c r="H117" s="205"/>
      <c r="I117" s="206"/>
      <c r="J117" s="207"/>
      <c r="K117" s="185"/>
      <c r="L117" s="204">
        <f ca="1">L118 - L101</f>
        <v>3024900</v>
      </c>
      <c r="M117" s="204">
        <f t="shared" ref="M117:Y117" ca="1" si="76">M118 - M101</f>
        <v>3041800</v>
      </c>
      <c r="N117" s="204">
        <f t="shared" ca="1" si="76"/>
        <v>2942500</v>
      </c>
      <c r="O117" s="204">
        <f t="shared" ca="1" si="76"/>
        <v>2863627</v>
      </c>
      <c r="P117" s="204">
        <f t="shared" ca="1" si="76"/>
        <v>2830420</v>
      </c>
      <c r="Q117" s="204">
        <f t="shared" ca="1" si="76"/>
        <v>2632160</v>
      </c>
      <c r="R117" s="204">
        <f t="shared" ca="1" si="76"/>
        <v>2614916</v>
      </c>
      <c r="S117" s="204">
        <f t="shared" ca="1" si="76"/>
        <v>2645280</v>
      </c>
      <c r="T117" s="204">
        <f t="shared" ca="1" si="76"/>
        <v>2498339</v>
      </c>
      <c r="U117" s="204">
        <f t="shared" ca="1" si="76"/>
        <v>2350713</v>
      </c>
      <c r="V117" s="204">
        <f t="shared" ca="1" si="76"/>
        <v>2336286</v>
      </c>
      <c r="W117" s="204">
        <f t="shared" ca="1" si="76"/>
        <v>2322626</v>
      </c>
      <c r="X117" s="204">
        <f t="shared" ca="1" si="76"/>
        <v>2298843</v>
      </c>
      <c r="Y117" s="204">
        <f t="shared" ca="1" si="76"/>
        <v>2279767</v>
      </c>
    </row>
    <row r="118" spans="2:25" s="39" customFormat="1" x14ac:dyDescent="0.3">
      <c r="B118" s="76" t="s">
        <v>244</v>
      </c>
      <c r="C118" s="25"/>
      <c r="D118" s="77">
        <f t="shared" ref="D118:F118" ca="1" si="77">(D101 + D117) + (D151 + D158) - (D101 + D117)</f>
        <v>5953182.3958952129</v>
      </c>
      <c r="E118" s="77">
        <f t="shared" ca="1" si="77"/>
        <v>4968404.319572892</v>
      </c>
      <c r="F118" s="77">
        <f t="shared" ca="1" si="77"/>
        <v>5436824.4842854533</v>
      </c>
      <c r="G118" s="77">
        <f ca="1">(G101 + G117) + (G151 + G158) - (G101 + G117)</f>
        <v>5747677.0710434318</v>
      </c>
      <c r="H118" s="141"/>
      <c r="I118" s="123"/>
      <c r="J118" s="105"/>
      <c r="K118" s="25"/>
      <c r="L118" s="77">
        <f ca="1">L151 + L158</f>
        <v>4859600</v>
      </c>
      <c r="M118" s="77">
        <f t="shared" ref="M118:Y118" ca="1" si="78">M151 + M158</f>
        <v>5441100</v>
      </c>
      <c r="N118" s="77">
        <f t="shared" ca="1" si="78"/>
        <v>5329000</v>
      </c>
      <c r="O118" s="77">
        <f t="shared" ca="1" si="78"/>
        <v>5225761</v>
      </c>
      <c r="P118" s="77">
        <f t="shared" ca="1" si="78"/>
        <v>5263491</v>
      </c>
      <c r="Q118" s="77">
        <f t="shared" ca="1" si="78"/>
        <v>4880866</v>
      </c>
      <c r="R118" s="77">
        <f t="shared" ca="1" si="78"/>
        <v>4886742</v>
      </c>
      <c r="S118" s="77">
        <f t="shared" ca="1" si="78"/>
        <v>5058478</v>
      </c>
      <c r="T118" s="77">
        <f t="shared" ca="1" si="78"/>
        <v>4730994</v>
      </c>
      <c r="U118" s="77">
        <f t="shared" ca="1" si="78"/>
        <v>4644585</v>
      </c>
      <c r="V118" s="77">
        <f t="shared" ca="1" si="78"/>
        <v>4489363</v>
      </c>
      <c r="W118" s="77">
        <f t="shared" ca="1" si="78"/>
        <v>4421064</v>
      </c>
      <c r="X118" s="77">
        <f t="shared" ca="1" si="78"/>
        <v>4500800</v>
      </c>
      <c r="Y118" s="77">
        <f t="shared" ca="1" si="78"/>
        <v>4533846</v>
      </c>
    </row>
    <row r="119" spans="2:25" s="39" customFormat="1" ht="6.9" customHeight="1" x14ac:dyDescent="0.3">
      <c r="B119" s="73"/>
      <c r="C119" s="25"/>
      <c r="D119" s="53"/>
      <c r="E119" s="53"/>
      <c r="F119" s="53"/>
      <c r="G119" s="53"/>
      <c r="H119" s="53"/>
      <c r="I119" s="53"/>
      <c r="J119" s="53"/>
      <c r="K119" s="25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</row>
    <row r="120" spans="2:25" hidden="1" outlineLevel="1" x14ac:dyDescent="0.3">
      <c r="B120" s="89" t="s">
        <v>537</v>
      </c>
      <c r="L120" s="32">
        <v>696600</v>
      </c>
      <c r="M120" s="32">
        <v>1168600</v>
      </c>
      <c r="N120" s="32">
        <v>1199800</v>
      </c>
      <c r="O120" s="32">
        <v>1129877</v>
      </c>
      <c r="P120" s="32">
        <v>1255784</v>
      </c>
      <c r="Q120" s="32">
        <v>1155034</v>
      </c>
      <c r="R120" s="32">
        <v>1147892</v>
      </c>
      <c r="S120" s="32">
        <v>1199741</v>
      </c>
      <c r="T120" s="32">
        <v>1077287</v>
      </c>
      <c r="U120" s="32">
        <v>1214084</v>
      </c>
      <c r="V120" s="32">
        <v>1170383</v>
      </c>
      <c r="W120" s="32">
        <v>1110104</v>
      </c>
      <c r="X120" s="32">
        <v>1239220</v>
      </c>
      <c r="Y120" s="32">
        <v>1239792</v>
      </c>
    </row>
    <row r="121" spans="2:25" hidden="1" outlineLevel="1" x14ac:dyDescent="0.3">
      <c r="B121" s="89" t="s">
        <v>538</v>
      </c>
      <c r="L121" s="32">
        <v>0</v>
      </c>
      <c r="M121" s="32">
        <v>0</v>
      </c>
      <c r="N121" s="32">
        <v>0</v>
      </c>
      <c r="O121" s="32">
        <v>0</v>
      </c>
      <c r="P121" s="32">
        <v>72728</v>
      </c>
      <c r="Q121" s="32">
        <v>71397</v>
      </c>
      <c r="R121" s="32">
        <v>119562</v>
      </c>
      <c r="S121" s="32">
        <v>74359</v>
      </c>
      <c r="T121" s="32">
        <v>46248</v>
      </c>
      <c r="U121" s="32">
        <v>55579</v>
      </c>
      <c r="V121" s="32">
        <v>97149</v>
      </c>
      <c r="W121" s="32">
        <v>59684</v>
      </c>
      <c r="X121" s="32">
        <v>35461</v>
      </c>
      <c r="Y121" s="32">
        <v>104081</v>
      </c>
    </row>
    <row r="122" spans="2:25" hidden="1" outlineLevel="1" x14ac:dyDescent="0.3">
      <c r="B122" s="89" t="s">
        <v>539</v>
      </c>
      <c r="L122" s="32">
        <v>357700</v>
      </c>
      <c r="M122" s="32">
        <v>484900</v>
      </c>
      <c r="N122" s="32">
        <v>410500</v>
      </c>
      <c r="O122" s="32">
        <v>426486</v>
      </c>
      <c r="P122" s="32">
        <v>444003</v>
      </c>
      <c r="Q122" s="32">
        <v>415615</v>
      </c>
      <c r="R122" s="32">
        <v>404233</v>
      </c>
      <c r="S122" s="32">
        <v>420315</v>
      </c>
      <c r="T122" s="32">
        <v>399804</v>
      </c>
      <c r="U122" s="32">
        <v>430619</v>
      </c>
      <c r="V122" s="32">
        <v>392388</v>
      </c>
      <c r="W122" s="32">
        <v>387770</v>
      </c>
      <c r="X122" s="32">
        <v>397295</v>
      </c>
      <c r="Y122" s="32">
        <v>437672</v>
      </c>
    </row>
    <row r="123" spans="2:25" hidden="1" outlineLevel="1" x14ac:dyDescent="0.3">
      <c r="B123" s="89" t="s">
        <v>540</v>
      </c>
      <c r="L123" s="32">
        <v>0</v>
      </c>
      <c r="M123" s="32">
        <v>0</v>
      </c>
      <c r="N123" s="32">
        <v>0</v>
      </c>
      <c r="O123" s="32">
        <v>0</v>
      </c>
      <c r="P123" s="32">
        <v>26000</v>
      </c>
      <c r="Q123" s="32">
        <v>20500</v>
      </c>
      <c r="R123" s="32">
        <v>24500</v>
      </c>
      <c r="S123" s="32">
        <v>24000</v>
      </c>
      <c r="T123" s="32">
        <v>22000</v>
      </c>
      <c r="U123" s="32">
        <v>21000</v>
      </c>
      <c r="V123" s="32">
        <v>26750</v>
      </c>
      <c r="W123" s="32">
        <v>22500</v>
      </c>
      <c r="X123" s="32">
        <v>27500</v>
      </c>
      <c r="Y123" s="32">
        <v>30000</v>
      </c>
    </row>
    <row r="124" spans="2:25" hidden="1" outlineLevel="1" x14ac:dyDescent="0.3">
      <c r="B124" s="89" t="s">
        <v>541</v>
      </c>
      <c r="L124" s="32">
        <v>54600</v>
      </c>
      <c r="M124" s="32">
        <v>354700</v>
      </c>
      <c r="N124" s="32">
        <v>66000</v>
      </c>
      <c r="O124" s="32">
        <v>71548</v>
      </c>
      <c r="P124" s="32">
        <v>0</v>
      </c>
      <c r="Q124" s="32">
        <v>0</v>
      </c>
      <c r="R124" s="32">
        <v>0</v>
      </c>
      <c r="S124" s="32">
        <v>0</v>
      </c>
      <c r="T124" s="32">
        <v>0</v>
      </c>
      <c r="U124" s="32">
        <v>0</v>
      </c>
      <c r="V124" s="32">
        <v>0</v>
      </c>
      <c r="W124" s="32">
        <v>0</v>
      </c>
      <c r="X124" s="32">
        <v>0</v>
      </c>
      <c r="Y124" s="32">
        <v>0</v>
      </c>
    </row>
    <row r="125" spans="2:25" hidden="1" outlineLevel="1" x14ac:dyDescent="0.3">
      <c r="B125" s="89" t="s">
        <v>542</v>
      </c>
      <c r="L125" s="32">
        <v>0</v>
      </c>
      <c r="M125" s="32">
        <v>0</v>
      </c>
      <c r="N125" s="32">
        <v>0</v>
      </c>
      <c r="O125" s="32">
        <v>0</v>
      </c>
      <c r="P125" s="32">
        <v>96359</v>
      </c>
      <c r="Q125" s="32">
        <v>76080</v>
      </c>
      <c r="R125" s="32">
        <v>76412</v>
      </c>
      <c r="S125" s="32">
        <v>58195</v>
      </c>
      <c r="T125" s="32">
        <v>80996</v>
      </c>
      <c r="U125" s="32">
        <v>53184</v>
      </c>
      <c r="V125" s="32">
        <v>46340</v>
      </c>
      <c r="W125" s="32">
        <v>62349</v>
      </c>
      <c r="X125" s="32">
        <v>42993</v>
      </c>
      <c r="Y125" s="32">
        <v>37506</v>
      </c>
    </row>
    <row r="126" spans="2:25" hidden="1" outlineLevel="1" x14ac:dyDescent="0.3">
      <c r="B126" s="89" t="s">
        <v>543</v>
      </c>
      <c r="L126" s="32">
        <v>23600</v>
      </c>
      <c r="M126" s="32">
        <v>24400</v>
      </c>
      <c r="N126" s="32">
        <v>23900</v>
      </c>
      <c r="O126" s="32">
        <v>23504</v>
      </c>
      <c r="P126" s="32">
        <v>23907</v>
      </c>
      <c r="Q126" s="32">
        <v>0</v>
      </c>
      <c r="R126" s="32">
        <v>0</v>
      </c>
      <c r="S126" s="32">
        <v>0</v>
      </c>
      <c r="T126" s="32">
        <v>0</v>
      </c>
      <c r="U126" s="32">
        <v>0</v>
      </c>
      <c r="V126" s="32">
        <v>0</v>
      </c>
      <c r="W126" s="32">
        <v>0</v>
      </c>
      <c r="X126" s="32">
        <v>0</v>
      </c>
      <c r="Y126" s="32">
        <v>0</v>
      </c>
    </row>
    <row r="127" spans="2:25" hidden="1" outlineLevel="1" x14ac:dyDescent="0.3">
      <c r="B127" s="89" t="s">
        <v>544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2">
        <v>311</v>
      </c>
      <c r="R127" s="32">
        <v>682</v>
      </c>
      <c r="S127" s="32">
        <v>1177</v>
      </c>
      <c r="T127" s="32">
        <v>823</v>
      </c>
      <c r="U127" s="32">
        <v>1626</v>
      </c>
      <c r="V127" s="32">
        <v>2597</v>
      </c>
      <c r="W127" s="32">
        <v>0</v>
      </c>
      <c r="X127" s="32">
        <v>0</v>
      </c>
      <c r="Y127" s="32">
        <v>0</v>
      </c>
    </row>
    <row r="128" spans="2:25" hidden="1" outlineLevel="1" x14ac:dyDescent="0.3">
      <c r="B128" s="89" t="s">
        <v>246</v>
      </c>
      <c r="L128" s="32">
        <v>442700</v>
      </c>
      <c r="M128" s="32">
        <v>410700</v>
      </c>
      <c r="N128" s="32">
        <v>483300</v>
      </c>
      <c r="O128" s="32">
        <v>485908</v>
      </c>
      <c r="P128" s="32">
        <v>507348</v>
      </c>
      <c r="Q128" s="32">
        <v>428441</v>
      </c>
      <c r="R128" s="32">
        <v>442577</v>
      </c>
      <c r="S128" s="32">
        <v>491841</v>
      </c>
      <c r="T128" s="32">
        <v>436851</v>
      </c>
      <c r="U128" s="32">
        <v>330747</v>
      </c>
      <c r="V128" s="32">
        <v>347746</v>
      </c>
      <c r="W128" s="32">
        <v>354957</v>
      </c>
      <c r="X128" s="32">
        <v>313219</v>
      </c>
      <c r="Y128" s="32">
        <v>327594</v>
      </c>
    </row>
    <row r="129" spans="2:25" hidden="1" outlineLevel="1" x14ac:dyDescent="0.3">
      <c r="B129" s="89" t="s">
        <v>545</v>
      </c>
      <c r="L129" s="32">
        <v>0</v>
      </c>
      <c r="M129" s="32">
        <v>0</v>
      </c>
      <c r="N129" s="32">
        <v>0</v>
      </c>
      <c r="O129" s="32">
        <v>0</v>
      </c>
      <c r="P129" s="32">
        <v>0</v>
      </c>
      <c r="Q129" s="32">
        <v>207082</v>
      </c>
      <c r="R129" s="32">
        <v>189027</v>
      </c>
      <c r="S129" s="32">
        <v>194248</v>
      </c>
      <c r="T129" s="32">
        <v>208770</v>
      </c>
      <c r="U129" s="32">
        <v>173173</v>
      </c>
      <c r="V129" s="32">
        <v>185720</v>
      </c>
      <c r="W129" s="32">
        <v>193553</v>
      </c>
      <c r="X129" s="32">
        <v>182108</v>
      </c>
      <c r="Y129" s="32">
        <v>194870</v>
      </c>
    </row>
    <row r="130" spans="2:25" hidden="1" outlineLevel="1" x14ac:dyDescent="0.3">
      <c r="B130" s="89" t="s">
        <v>546</v>
      </c>
      <c r="L130" s="32">
        <v>199900</v>
      </c>
      <c r="M130" s="32">
        <v>197100</v>
      </c>
      <c r="N130" s="32">
        <v>213800</v>
      </c>
      <c r="O130" s="32">
        <v>198017</v>
      </c>
      <c r="P130" s="32">
        <v>208069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V130" s="32">
        <v>0</v>
      </c>
      <c r="W130" s="32">
        <v>0</v>
      </c>
      <c r="X130" s="32">
        <v>0</v>
      </c>
      <c r="Y130" s="32">
        <v>0</v>
      </c>
    </row>
    <row r="131" spans="2:25" s="187" customFormat="1" collapsed="1" x14ac:dyDescent="0.3">
      <c r="B131" s="208" t="s">
        <v>441</v>
      </c>
      <c r="C131" s="185"/>
      <c r="D131" s="204">
        <f>D32 * SUM(D$43:D$46)</f>
        <v>2635866.5684425803</v>
      </c>
      <c r="E131" s="204">
        <f>E32 * SUM(E$43:E$46)</f>
        <v>1776800.1552053317</v>
      </c>
      <c r="F131" s="204">
        <f>F32 * SUM(F$43:F$46)</f>
        <v>2249208.9358602851</v>
      </c>
      <c r="G131" s="204">
        <f>G32 * SUM(G$43:G$46)</f>
        <v>2604103.4767948575</v>
      </c>
      <c r="H131" s="205"/>
      <c r="I131" s="206"/>
      <c r="J131" s="207"/>
      <c r="K131" s="185"/>
      <c r="L131" s="204">
        <f>SUM(L120:L130)</f>
        <v>1775100</v>
      </c>
      <c r="M131" s="204">
        <f t="shared" ref="M131:Y131" si="79">SUM(M120:M130)</f>
        <v>2640400</v>
      </c>
      <c r="N131" s="204">
        <f t="shared" si="79"/>
        <v>2397300</v>
      </c>
      <c r="O131" s="204">
        <f t="shared" si="79"/>
        <v>2335340</v>
      </c>
      <c r="P131" s="204">
        <f t="shared" si="79"/>
        <v>2634198</v>
      </c>
      <c r="Q131" s="204">
        <f t="shared" si="79"/>
        <v>2374460</v>
      </c>
      <c r="R131" s="204">
        <f t="shared" si="79"/>
        <v>2404885</v>
      </c>
      <c r="S131" s="204">
        <f t="shared" si="79"/>
        <v>2463876</v>
      </c>
      <c r="T131" s="204">
        <f t="shared" si="79"/>
        <v>2272779</v>
      </c>
      <c r="U131" s="204">
        <f t="shared" si="79"/>
        <v>2280012</v>
      </c>
      <c r="V131" s="204">
        <f t="shared" si="79"/>
        <v>2269073</v>
      </c>
      <c r="W131" s="204">
        <f t="shared" si="79"/>
        <v>2190917</v>
      </c>
      <c r="X131" s="204">
        <f t="shared" si="79"/>
        <v>2237796</v>
      </c>
      <c r="Y131" s="204">
        <f t="shared" si="79"/>
        <v>2371515</v>
      </c>
    </row>
    <row r="132" spans="2:25" hidden="1" outlineLevel="1" x14ac:dyDescent="0.3">
      <c r="B132" s="89" t="s">
        <v>258</v>
      </c>
      <c r="L132" s="32">
        <v>550000</v>
      </c>
      <c r="M132" s="32">
        <v>850000</v>
      </c>
      <c r="N132" s="32">
        <v>844000</v>
      </c>
      <c r="O132" s="32">
        <v>841626</v>
      </c>
      <c r="P132" s="32">
        <v>841042</v>
      </c>
      <c r="Q132" s="32">
        <v>839893</v>
      </c>
      <c r="R132" s="32">
        <v>839328</v>
      </c>
      <c r="S132" s="32">
        <v>838769</v>
      </c>
      <c r="T132" s="32">
        <v>837667</v>
      </c>
      <c r="U132" s="32">
        <v>837125</v>
      </c>
      <c r="V132" s="32">
        <v>836587</v>
      </c>
      <c r="W132" s="32">
        <v>835530</v>
      </c>
      <c r="X132" s="32">
        <v>835010</v>
      </c>
      <c r="Y132" s="32">
        <v>834495</v>
      </c>
    </row>
    <row r="133" spans="2:25" hidden="1" outlineLevel="1" x14ac:dyDescent="0.3">
      <c r="B133" s="89" t="s">
        <v>547</v>
      </c>
      <c r="L133" s="32">
        <v>136600</v>
      </c>
      <c r="M133" s="32">
        <v>68100</v>
      </c>
      <c r="N133" s="32">
        <v>49200</v>
      </c>
      <c r="O133" s="32">
        <v>38113</v>
      </c>
      <c r="P133" s="32">
        <v>29342</v>
      </c>
      <c r="Q133" s="32">
        <v>32584</v>
      </c>
      <c r="R133" s="32">
        <v>39636</v>
      </c>
      <c r="S133" s="32">
        <v>28035</v>
      </c>
      <c r="T133" s="32">
        <v>33508</v>
      </c>
      <c r="U133" s="32">
        <v>32509</v>
      </c>
      <c r="V133" s="32" t="s">
        <v>207</v>
      </c>
      <c r="W133" s="32" t="s">
        <v>207</v>
      </c>
      <c r="X133" s="32">
        <v>10000</v>
      </c>
      <c r="Y133" s="32" t="s">
        <v>207</v>
      </c>
    </row>
    <row r="134" spans="2:25" hidden="1" outlineLevel="1" x14ac:dyDescent="0.3">
      <c r="B134" s="89" t="s">
        <v>548</v>
      </c>
      <c r="L134" s="32">
        <v>620600</v>
      </c>
      <c r="M134" s="32">
        <v>455900</v>
      </c>
      <c r="N134" s="32">
        <v>382900</v>
      </c>
      <c r="O134" s="32">
        <v>402828</v>
      </c>
      <c r="P134" s="32" t="s">
        <v>207</v>
      </c>
      <c r="Q134" s="32" t="s">
        <v>207</v>
      </c>
      <c r="R134" s="32" t="s">
        <v>207</v>
      </c>
      <c r="S134" s="32" t="s">
        <v>207</v>
      </c>
      <c r="T134" s="32" t="s">
        <v>207</v>
      </c>
      <c r="U134" s="32" t="s">
        <v>207</v>
      </c>
      <c r="V134" s="32" t="s">
        <v>207</v>
      </c>
      <c r="W134" s="32" t="s">
        <v>207</v>
      </c>
      <c r="X134" s="32" t="s">
        <v>207</v>
      </c>
      <c r="Y134" s="32" t="s">
        <v>207</v>
      </c>
    </row>
    <row r="135" spans="2:25" hidden="1" outlineLevel="1" x14ac:dyDescent="0.3">
      <c r="B135" s="89" t="s">
        <v>549</v>
      </c>
      <c r="L135" s="32" t="s">
        <v>207</v>
      </c>
      <c r="M135" s="32" t="s">
        <v>207</v>
      </c>
      <c r="N135" s="32" t="s">
        <v>207</v>
      </c>
      <c r="O135" s="32" t="s">
        <v>207</v>
      </c>
      <c r="P135" s="32">
        <v>422396</v>
      </c>
      <c r="Q135" s="32">
        <v>455190</v>
      </c>
      <c r="R135" s="32">
        <v>476178</v>
      </c>
      <c r="S135" s="32">
        <v>500716</v>
      </c>
      <c r="T135" s="32">
        <v>411439</v>
      </c>
      <c r="U135" s="32">
        <v>388830</v>
      </c>
      <c r="V135" s="32">
        <v>380393</v>
      </c>
      <c r="W135" s="32">
        <v>393813</v>
      </c>
      <c r="X135" s="32">
        <v>389593</v>
      </c>
      <c r="Y135" s="32">
        <v>398509</v>
      </c>
    </row>
    <row r="136" spans="2:25" hidden="1" outlineLevel="1" x14ac:dyDescent="0.3">
      <c r="B136" s="89" t="s">
        <v>550</v>
      </c>
      <c r="L136" s="32" t="s">
        <v>207</v>
      </c>
      <c r="M136" s="32" t="s">
        <v>207</v>
      </c>
      <c r="N136" s="32" t="s">
        <v>207</v>
      </c>
      <c r="O136" s="32" t="s">
        <v>207</v>
      </c>
      <c r="P136" s="32" t="s">
        <v>207</v>
      </c>
      <c r="Q136" s="32">
        <v>51418</v>
      </c>
      <c r="R136" s="32">
        <v>64523</v>
      </c>
      <c r="S136" s="32">
        <v>67445</v>
      </c>
      <c r="T136" s="32">
        <v>52738</v>
      </c>
      <c r="U136" s="32">
        <v>45703</v>
      </c>
      <c r="V136" s="32">
        <v>46629</v>
      </c>
      <c r="W136" s="32">
        <v>48679</v>
      </c>
      <c r="X136" s="32">
        <v>49727</v>
      </c>
      <c r="Y136" s="32">
        <v>50883</v>
      </c>
    </row>
    <row r="137" spans="2:25" hidden="1" outlineLevel="1" x14ac:dyDescent="0.3">
      <c r="B137" s="89" t="s">
        <v>551</v>
      </c>
      <c r="L137" s="32">
        <v>90000</v>
      </c>
      <c r="M137" s="32">
        <v>87400</v>
      </c>
      <c r="N137" s="32">
        <v>66100</v>
      </c>
      <c r="O137" s="32">
        <v>54363</v>
      </c>
      <c r="P137" s="32" t="s">
        <v>207</v>
      </c>
      <c r="Q137" s="32" t="s">
        <v>207</v>
      </c>
      <c r="R137" s="32" t="s">
        <v>207</v>
      </c>
      <c r="S137" s="32" t="s">
        <v>207</v>
      </c>
      <c r="T137" s="32" t="s">
        <v>207</v>
      </c>
      <c r="U137" s="32" t="s">
        <v>207</v>
      </c>
      <c r="V137" s="32" t="s">
        <v>207</v>
      </c>
      <c r="W137" s="32" t="s">
        <v>207</v>
      </c>
      <c r="X137" s="32" t="s">
        <v>207</v>
      </c>
      <c r="Y137" s="32" t="s">
        <v>207</v>
      </c>
    </row>
    <row r="138" spans="2:25" hidden="1" outlineLevel="1" x14ac:dyDescent="0.3">
      <c r="B138" s="89" t="s">
        <v>552</v>
      </c>
      <c r="L138" s="32" t="s">
        <v>207</v>
      </c>
      <c r="M138" s="32" t="s">
        <v>207</v>
      </c>
      <c r="N138" s="32" t="s">
        <v>207</v>
      </c>
      <c r="O138" s="32" t="s">
        <v>207</v>
      </c>
      <c r="P138" s="32">
        <v>47339</v>
      </c>
      <c r="Q138" s="32" t="s">
        <v>207</v>
      </c>
      <c r="R138" s="32" t="s">
        <v>207</v>
      </c>
      <c r="S138" s="32" t="s">
        <v>207</v>
      </c>
      <c r="T138" s="32" t="s">
        <v>207</v>
      </c>
      <c r="U138" s="32" t="s">
        <v>207</v>
      </c>
      <c r="V138" s="32" t="s">
        <v>207</v>
      </c>
      <c r="W138" s="32" t="s">
        <v>207</v>
      </c>
      <c r="X138" s="32" t="s">
        <v>207</v>
      </c>
      <c r="Y138" s="32" t="s">
        <v>207</v>
      </c>
    </row>
    <row r="139" spans="2:25" hidden="1" outlineLevel="1" x14ac:dyDescent="0.3">
      <c r="B139" s="89" t="s">
        <v>553</v>
      </c>
      <c r="L139" s="32">
        <v>25400</v>
      </c>
      <c r="M139" s="32">
        <v>38400</v>
      </c>
      <c r="N139" s="32">
        <v>34200</v>
      </c>
      <c r="O139" s="32">
        <v>30338</v>
      </c>
      <c r="P139" s="32" t="s">
        <v>207</v>
      </c>
      <c r="Q139" s="32" t="s">
        <v>207</v>
      </c>
      <c r="R139" s="32" t="s">
        <v>207</v>
      </c>
      <c r="S139" s="32" t="s">
        <v>207</v>
      </c>
      <c r="T139" s="32" t="s">
        <v>207</v>
      </c>
      <c r="U139" s="32" t="s">
        <v>207</v>
      </c>
      <c r="V139" s="32" t="s">
        <v>207</v>
      </c>
      <c r="W139" s="32" t="s">
        <v>207</v>
      </c>
      <c r="X139" s="32" t="s">
        <v>207</v>
      </c>
      <c r="Y139" s="32" t="s">
        <v>207</v>
      </c>
    </row>
    <row r="140" spans="2:25" hidden="1" outlineLevel="1" x14ac:dyDescent="0.3">
      <c r="B140" s="89" t="s">
        <v>554</v>
      </c>
      <c r="L140" s="32">
        <v>1422600</v>
      </c>
      <c r="M140" s="32">
        <v>1499800</v>
      </c>
      <c r="N140" s="32">
        <v>1376400</v>
      </c>
      <c r="O140" s="32">
        <v>1367268</v>
      </c>
      <c r="P140" s="32">
        <v>1340119</v>
      </c>
      <c r="Q140" s="32">
        <v>1379085</v>
      </c>
      <c r="R140" s="32">
        <v>1419665</v>
      </c>
      <c r="S140" s="32">
        <v>1434965</v>
      </c>
      <c r="T140" s="32">
        <v>1335352</v>
      </c>
      <c r="U140" s="32">
        <v>1304167</v>
      </c>
      <c r="V140" s="32">
        <v>1263609</v>
      </c>
      <c r="W140" s="32">
        <v>1278022</v>
      </c>
      <c r="X140" s="32">
        <v>1284330</v>
      </c>
      <c r="Y140" s="32">
        <v>1283887</v>
      </c>
    </row>
    <row r="141" spans="2:25" hidden="1" outlineLevel="1" x14ac:dyDescent="0.3">
      <c r="B141" s="89" t="s">
        <v>555</v>
      </c>
      <c r="L141" s="32">
        <v>-2900</v>
      </c>
      <c r="M141" s="32">
        <v>-5100</v>
      </c>
      <c r="N141" s="32" t="s">
        <v>207</v>
      </c>
      <c r="O141" s="32" t="s">
        <v>207</v>
      </c>
      <c r="P141" s="32" t="s">
        <v>207</v>
      </c>
      <c r="Q141" s="32" t="s">
        <v>207</v>
      </c>
      <c r="R141" s="32" t="s">
        <v>207</v>
      </c>
      <c r="S141" s="32" t="s">
        <v>207</v>
      </c>
      <c r="T141" s="32" t="s">
        <v>207</v>
      </c>
      <c r="U141" s="32" t="s">
        <v>207</v>
      </c>
      <c r="V141" s="32" t="s">
        <v>207</v>
      </c>
      <c r="W141" s="32" t="s">
        <v>207</v>
      </c>
      <c r="X141" s="32" t="s">
        <v>207</v>
      </c>
      <c r="Y141" s="32" t="s">
        <v>207</v>
      </c>
    </row>
    <row r="142" spans="2:25" hidden="1" outlineLevel="1" x14ac:dyDescent="0.3">
      <c r="B142" s="89" t="s">
        <v>556</v>
      </c>
      <c r="L142" s="32">
        <v>-4400</v>
      </c>
      <c r="M142" s="32">
        <v>-2300</v>
      </c>
      <c r="N142" s="32">
        <v>-2400</v>
      </c>
      <c r="O142" s="32" t="s">
        <v>207</v>
      </c>
      <c r="P142" s="32" t="s">
        <v>207</v>
      </c>
      <c r="Q142" s="32" t="s">
        <v>207</v>
      </c>
      <c r="R142" s="32" t="s">
        <v>207</v>
      </c>
      <c r="S142" s="32" t="s">
        <v>207</v>
      </c>
      <c r="T142" s="32" t="s">
        <v>207</v>
      </c>
      <c r="U142" s="32" t="s">
        <v>207</v>
      </c>
      <c r="V142" s="32" t="s">
        <v>207</v>
      </c>
      <c r="W142" s="32" t="s">
        <v>207</v>
      </c>
      <c r="X142" s="32" t="s">
        <v>207</v>
      </c>
      <c r="Y142" s="32" t="s">
        <v>207</v>
      </c>
    </row>
    <row r="143" spans="2:25" hidden="1" outlineLevel="1" x14ac:dyDescent="0.3">
      <c r="B143" s="89" t="s">
        <v>557</v>
      </c>
      <c r="L143" s="32">
        <v>54600</v>
      </c>
      <c r="M143" s="32">
        <v>354700</v>
      </c>
      <c r="N143" s="32" t="s">
        <v>207</v>
      </c>
      <c r="O143" s="32">
        <v>71548</v>
      </c>
      <c r="P143" s="32">
        <v>77537</v>
      </c>
      <c r="Q143" s="32">
        <v>74958</v>
      </c>
      <c r="R143" s="32">
        <v>61667</v>
      </c>
      <c r="S143" s="32">
        <v>58195</v>
      </c>
      <c r="T143" s="32">
        <v>42663</v>
      </c>
      <c r="U143" s="32">
        <v>40322</v>
      </c>
      <c r="V143" s="32">
        <v>38891</v>
      </c>
      <c r="W143" s="32">
        <v>45305</v>
      </c>
      <c r="X143" s="32">
        <v>33390</v>
      </c>
      <c r="Y143" s="32">
        <v>27208</v>
      </c>
    </row>
    <row r="144" spans="2:25" hidden="1" outlineLevel="1" x14ac:dyDescent="0.3">
      <c r="B144" s="89" t="s">
        <v>558</v>
      </c>
      <c r="L144" s="32" t="s">
        <v>207</v>
      </c>
      <c r="M144" s="32" t="s">
        <v>207</v>
      </c>
      <c r="N144" s="32">
        <v>66000</v>
      </c>
      <c r="O144" s="32" t="s">
        <v>207</v>
      </c>
      <c r="P144" s="32" t="s">
        <v>207</v>
      </c>
      <c r="Q144" s="32" t="s">
        <v>207</v>
      </c>
      <c r="R144" s="32" t="s">
        <v>207</v>
      </c>
      <c r="S144" s="32" t="s">
        <v>207</v>
      </c>
      <c r="T144" s="32" t="s">
        <v>207</v>
      </c>
      <c r="U144" s="32" t="s">
        <v>207</v>
      </c>
      <c r="V144" s="32" t="s">
        <v>207</v>
      </c>
      <c r="W144" s="32" t="s">
        <v>207</v>
      </c>
      <c r="X144" s="32" t="s">
        <v>207</v>
      </c>
      <c r="Y144" s="32" t="s">
        <v>207</v>
      </c>
    </row>
    <row r="145" spans="2:25" hidden="1" outlineLevel="1" x14ac:dyDescent="0.3">
      <c r="B145" s="89" t="s">
        <v>559</v>
      </c>
      <c r="L145" s="32">
        <v>1360700</v>
      </c>
      <c r="M145" s="32">
        <v>1137700</v>
      </c>
      <c r="N145" s="32">
        <v>1308000</v>
      </c>
      <c r="O145" s="32">
        <v>1295720</v>
      </c>
      <c r="P145" s="32">
        <v>1262582</v>
      </c>
      <c r="Q145" s="32">
        <v>1304127</v>
      </c>
      <c r="R145" s="32">
        <v>1357998</v>
      </c>
      <c r="S145" s="32">
        <v>1376770</v>
      </c>
      <c r="T145" s="32">
        <v>1292689</v>
      </c>
      <c r="U145" s="32">
        <v>1263845</v>
      </c>
      <c r="V145" s="32">
        <v>1224718</v>
      </c>
      <c r="W145" s="32">
        <v>1232717</v>
      </c>
      <c r="X145" s="32">
        <v>1250940</v>
      </c>
      <c r="Y145" s="32">
        <v>1256679</v>
      </c>
    </row>
    <row r="146" spans="2:25" hidden="1" outlineLevel="1" x14ac:dyDescent="0.3">
      <c r="B146" s="89" t="s">
        <v>560</v>
      </c>
      <c r="L146" s="32">
        <v>214200</v>
      </c>
      <c r="M146" s="32">
        <v>208900</v>
      </c>
      <c r="N146" s="32">
        <v>195500</v>
      </c>
      <c r="O146" s="32">
        <v>193421</v>
      </c>
      <c r="P146" s="32">
        <v>204331</v>
      </c>
      <c r="Q146" s="32" t="s">
        <v>207</v>
      </c>
      <c r="R146" s="32" t="s">
        <v>207</v>
      </c>
      <c r="S146" s="32" t="s">
        <v>207</v>
      </c>
      <c r="T146" s="32" t="s">
        <v>207</v>
      </c>
      <c r="U146" s="32" t="s">
        <v>207</v>
      </c>
      <c r="V146" s="32" t="s">
        <v>207</v>
      </c>
      <c r="W146" s="32" t="s">
        <v>207</v>
      </c>
      <c r="X146" s="32" t="s">
        <v>207</v>
      </c>
      <c r="Y146" s="32" t="s">
        <v>207</v>
      </c>
    </row>
    <row r="147" spans="2:25" hidden="1" outlineLevel="1" x14ac:dyDescent="0.3">
      <c r="B147" s="89" t="s">
        <v>376</v>
      </c>
      <c r="L147" s="32">
        <v>135400</v>
      </c>
      <c r="M147" s="32">
        <v>135800</v>
      </c>
      <c r="N147" s="32">
        <v>131400</v>
      </c>
      <c r="O147" s="32">
        <v>134649</v>
      </c>
      <c r="P147" s="32">
        <v>136219</v>
      </c>
      <c r="Q147" s="32">
        <v>137826</v>
      </c>
      <c r="R147" s="32">
        <v>138478</v>
      </c>
      <c r="S147" s="32">
        <v>134800</v>
      </c>
      <c r="T147" s="32">
        <v>181244</v>
      </c>
      <c r="U147" s="32">
        <v>174220</v>
      </c>
      <c r="V147" s="32">
        <v>168772</v>
      </c>
      <c r="W147" s="32">
        <v>148001</v>
      </c>
      <c r="X147" s="32">
        <v>140462</v>
      </c>
      <c r="Y147" s="32">
        <v>138984</v>
      </c>
    </row>
    <row r="148" spans="2:25" hidden="1" outlineLevel="1" x14ac:dyDescent="0.3">
      <c r="B148" s="89" t="s">
        <v>561</v>
      </c>
      <c r="L148" s="32">
        <v>49300</v>
      </c>
      <c r="M148" s="32">
        <v>41700</v>
      </c>
      <c r="N148" s="32" t="s">
        <v>207</v>
      </c>
      <c r="O148" s="32" t="s">
        <v>207</v>
      </c>
      <c r="P148" s="32">
        <v>2430</v>
      </c>
      <c r="Q148" s="32">
        <v>444</v>
      </c>
      <c r="R148" s="32">
        <v>1597</v>
      </c>
      <c r="S148" s="32">
        <v>3512</v>
      </c>
      <c r="T148" s="32">
        <v>16157</v>
      </c>
      <c r="U148" s="32">
        <v>18065</v>
      </c>
      <c r="V148" s="32">
        <v>17762</v>
      </c>
      <c r="W148" s="32">
        <v>45040</v>
      </c>
      <c r="X148" s="32">
        <v>49438</v>
      </c>
      <c r="Y148" s="32">
        <v>43122</v>
      </c>
    </row>
    <row r="149" spans="2:25" hidden="1" outlineLevel="1" x14ac:dyDescent="0.3">
      <c r="B149" s="89" t="s">
        <v>562</v>
      </c>
      <c r="L149" s="32">
        <v>109000</v>
      </c>
      <c r="M149" s="32">
        <v>102000</v>
      </c>
      <c r="N149" s="32">
        <v>110500</v>
      </c>
      <c r="O149" s="32">
        <v>102566</v>
      </c>
      <c r="P149" s="32">
        <v>93474</v>
      </c>
      <c r="Q149" s="32">
        <v>99457</v>
      </c>
      <c r="R149" s="32">
        <v>99296</v>
      </c>
      <c r="S149" s="32">
        <v>98159</v>
      </c>
      <c r="T149" s="32">
        <v>93474</v>
      </c>
      <c r="U149" s="32">
        <v>89953</v>
      </c>
      <c r="V149" s="32">
        <v>87876</v>
      </c>
      <c r="W149" s="32">
        <v>81785</v>
      </c>
      <c r="X149" s="32">
        <v>80534</v>
      </c>
      <c r="Y149" s="32">
        <v>78915</v>
      </c>
    </row>
    <row r="150" spans="2:25" s="187" customFormat="1" collapsed="1" x14ac:dyDescent="0.3">
      <c r="B150" s="208" t="s">
        <v>563</v>
      </c>
      <c r="C150" s="185"/>
      <c r="D150" s="204">
        <f ca="1">ROUND(D33, -2)</f>
        <v>1964500</v>
      </c>
      <c r="E150" s="204">
        <f ca="1">ROUND(E33, -2)</f>
        <v>1925400</v>
      </c>
      <c r="F150" s="204">
        <f ca="1">ROUND(F33, -2)</f>
        <v>1897000</v>
      </c>
      <c r="G150" s="204">
        <f ca="1">ROUND(G33, -2)</f>
        <v>1868500</v>
      </c>
      <c r="H150" s="205"/>
      <c r="I150" s="206"/>
      <c r="J150" s="207"/>
      <c r="K150" s="185"/>
      <c r="L150" s="204">
        <f ca="1">L118 - (L131 + L158)</f>
        <v>1868500</v>
      </c>
      <c r="M150" s="204">
        <f t="shared" ref="M150:Y150" ca="1" si="80">M118 - (M131 + M158)</f>
        <v>1626000</v>
      </c>
      <c r="N150" s="204">
        <f t="shared" ca="1" si="80"/>
        <v>1745400</v>
      </c>
      <c r="O150" s="204">
        <f t="shared" ca="1" si="80"/>
        <v>1726356</v>
      </c>
      <c r="P150" s="204">
        <f t="shared" ca="1" si="80"/>
        <v>1501580</v>
      </c>
      <c r="Q150" s="204">
        <f t="shared" ca="1" si="80"/>
        <v>1358060</v>
      </c>
      <c r="R150" s="204">
        <f t="shared" ca="1" si="80"/>
        <v>1309245</v>
      </c>
      <c r="S150" s="204">
        <f t="shared" ca="1" si="80"/>
        <v>1416523</v>
      </c>
      <c r="T150" s="204">
        <f t="shared" ca="1" si="80"/>
        <v>1447068</v>
      </c>
      <c r="U150" s="204">
        <f t="shared" ca="1" si="80"/>
        <v>1392925</v>
      </c>
      <c r="V150" s="204">
        <f t="shared" ca="1" si="80"/>
        <v>1251330</v>
      </c>
      <c r="W150" s="204">
        <f t="shared" ca="1" si="80"/>
        <v>1343175</v>
      </c>
      <c r="X150" s="204">
        <f t="shared" ca="1" si="80"/>
        <v>1395452</v>
      </c>
      <c r="Y150" s="204">
        <f t="shared" ca="1" si="80"/>
        <v>1249538</v>
      </c>
    </row>
    <row r="151" spans="2:25" s="39" customFormat="1" x14ac:dyDescent="0.3">
      <c r="B151" s="76" t="s">
        <v>564</v>
      </c>
      <c r="C151" s="25"/>
      <c r="D151" s="77">
        <f t="shared" ref="D151" ca="1" si="81">D150 + D131</f>
        <v>4600366.5684425803</v>
      </c>
      <c r="E151" s="77">
        <f t="shared" ref="E151" ca="1" si="82">E150 + E131</f>
        <v>3702200.1552053317</v>
      </c>
      <c r="F151" s="77">
        <f t="shared" ref="F151" ca="1" si="83">F150 + F131</f>
        <v>4146208.9358602851</v>
      </c>
      <c r="G151" s="77">
        <f t="shared" ref="G151" ca="1" si="84">G150 + G131</f>
        <v>4472603.4767948575</v>
      </c>
      <c r="H151" s="141"/>
      <c r="I151" s="123"/>
      <c r="J151" s="105"/>
      <c r="K151" s="25"/>
      <c r="L151" s="77">
        <f ca="1">L150 + L131</f>
        <v>3643600</v>
      </c>
      <c r="M151" s="77">
        <f t="shared" ref="M151:Y151" ca="1" si="85">M150 + M131</f>
        <v>4266400</v>
      </c>
      <c r="N151" s="77">
        <f t="shared" ca="1" si="85"/>
        <v>4142700</v>
      </c>
      <c r="O151" s="77">
        <f t="shared" ca="1" si="85"/>
        <v>4061696</v>
      </c>
      <c r="P151" s="77">
        <f t="shared" ca="1" si="85"/>
        <v>4135778</v>
      </c>
      <c r="Q151" s="77">
        <f t="shared" ca="1" si="85"/>
        <v>3732520</v>
      </c>
      <c r="R151" s="77">
        <f t="shared" ca="1" si="85"/>
        <v>3714130</v>
      </c>
      <c r="S151" s="77">
        <f t="shared" ca="1" si="85"/>
        <v>3880399</v>
      </c>
      <c r="T151" s="77">
        <f t="shared" ca="1" si="85"/>
        <v>3719847</v>
      </c>
      <c r="U151" s="77">
        <f t="shared" ca="1" si="85"/>
        <v>3672937</v>
      </c>
      <c r="V151" s="77">
        <f t="shared" ca="1" si="85"/>
        <v>3520403</v>
      </c>
      <c r="W151" s="77">
        <f t="shared" ca="1" si="85"/>
        <v>3534092</v>
      </c>
      <c r="X151" s="77">
        <f t="shared" ca="1" si="85"/>
        <v>3633248</v>
      </c>
      <c r="Y151" s="77">
        <f t="shared" ca="1" si="85"/>
        <v>3621053</v>
      </c>
    </row>
    <row r="152" spans="2:25" ht="6.9" customHeight="1" x14ac:dyDescent="0.3">
      <c r="B152" s="30"/>
    </row>
    <row r="153" spans="2:25" x14ac:dyDescent="0.3">
      <c r="B153" s="89" t="s">
        <v>364</v>
      </c>
      <c r="D153" s="32">
        <f t="shared" ref="D153:F153" si="86">$L153</f>
        <v>300</v>
      </c>
      <c r="E153" s="32">
        <f t="shared" si="86"/>
        <v>300</v>
      </c>
      <c r="F153" s="32">
        <f t="shared" si="86"/>
        <v>300</v>
      </c>
      <c r="G153" s="32">
        <f>$L153</f>
        <v>300</v>
      </c>
      <c r="L153" s="32">
        <v>300</v>
      </c>
      <c r="M153" s="32">
        <v>300</v>
      </c>
      <c r="N153" s="32">
        <v>300</v>
      </c>
      <c r="O153" s="32">
        <v>255</v>
      </c>
      <c r="P153" s="32">
        <v>255</v>
      </c>
      <c r="Q153" s="32">
        <v>255</v>
      </c>
      <c r="R153" s="32">
        <v>255</v>
      </c>
      <c r="S153" s="32">
        <v>255</v>
      </c>
      <c r="T153" s="32">
        <v>255</v>
      </c>
      <c r="U153" s="32">
        <v>256</v>
      </c>
      <c r="V153" s="32">
        <v>256</v>
      </c>
      <c r="W153" s="32">
        <v>257</v>
      </c>
      <c r="X153" s="32">
        <v>257</v>
      </c>
      <c r="Y153" s="32">
        <v>257</v>
      </c>
    </row>
    <row r="154" spans="2:25" x14ac:dyDescent="0.3">
      <c r="B154" s="89" t="s">
        <v>262</v>
      </c>
      <c r="D154" s="32">
        <f>ROUND(D35, -2)</f>
        <v>289500</v>
      </c>
      <c r="E154" s="32">
        <f t="shared" ref="E154:G154" si="87">ROUND(E35, -2)</f>
        <v>289500</v>
      </c>
      <c r="F154" s="32">
        <f t="shared" si="87"/>
        <v>289500</v>
      </c>
      <c r="G154" s="32">
        <f t="shared" si="87"/>
        <v>289500</v>
      </c>
      <c r="L154" s="32">
        <v>300000</v>
      </c>
      <c r="M154" s="32">
        <v>287800</v>
      </c>
      <c r="N154" s="32">
        <v>291900</v>
      </c>
      <c r="O154" s="32">
        <v>288197</v>
      </c>
      <c r="P154" s="32">
        <v>287115</v>
      </c>
      <c r="Q154" s="32">
        <v>290668</v>
      </c>
      <c r="R154" s="32">
        <v>288492</v>
      </c>
      <c r="S154" s="32">
        <v>286244</v>
      </c>
      <c r="T154" s="32">
        <v>288970</v>
      </c>
      <c r="U154" s="32">
        <v>287410</v>
      </c>
      <c r="V154" s="32">
        <v>285455</v>
      </c>
      <c r="W154" s="32">
        <v>287018</v>
      </c>
      <c r="X154" s="32">
        <v>284887</v>
      </c>
      <c r="Y154" s="32">
        <v>283196</v>
      </c>
    </row>
    <row r="155" spans="2:25" x14ac:dyDescent="0.3">
      <c r="B155" s="202" t="s">
        <v>263</v>
      </c>
      <c r="D155" s="152">
        <f t="shared" ref="D155:E155" si="88">E155 + D70</f>
        <v>1863715.8274526326</v>
      </c>
      <c r="E155" s="152">
        <f t="shared" si="88"/>
        <v>1753104.1643675598</v>
      </c>
      <c r="F155" s="152">
        <f>G155 + F70</f>
        <v>1753815.5484251683</v>
      </c>
      <c r="G155" s="152">
        <f>L155 + G70</f>
        <v>1690673.5942485738</v>
      </c>
      <c r="L155" s="152">
        <v>1596900</v>
      </c>
      <c r="M155" s="152">
        <v>1566700</v>
      </c>
      <c r="N155" s="152">
        <v>1499800</v>
      </c>
      <c r="O155" s="152">
        <v>1466963</v>
      </c>
      <c r="P155" s="152">
        <v>1422576</v>
      </c>
      <c r="Q155" s="152">
        <v>1368946</v>
      </c>
      <c r="R155" s="152">
        <v>1339185</v>
      </c>
      <c r="S155" s="152">
        <v>1288052</v>
      </c>
      <c r="T155" s="152">
        <v>1141066</v>
      </c>
      <c r="U155" s="152">
        <v>1116195</v>
      </c>
      <c r="V155" s="152">
        <v>1082101</v>
      </c>
      <c r="W155" s="152">
        <v>1027393</v>
      </c>
      <c r="X155" s="152">
        <v>996944</v>
      </c>
      <c r="Y155" s="152">
        <v>955326</v>
      </c>
    </row>
    <row r="156" spans="2:25" x14ac:dyDescent="0.3">
      <c r="B156" s="89" t="s">
        <v>366</v>
      </c>
      <c r="D156" s="32">
        <f>ROUND(D36, -2)</f>
        <v>-220000</v>
      </c>
      <c r="E156" s="32">
        <f t="shared" ref="E156:G156" si="89">ROUND(E36, -2)</f>
        <v>-213900</v>
      </c>
      <c r="F156" s="32">
        <f t="shared" si="89"/>
        <v>-207900</v>
      </c>
      <c r="G156" s="32">
        <f t="shared" si="89"/>
        <v>-195800</v>
      </c>
      <c r="L156" s="32">
        <v>-213300</v>
      </c>
      <c r="M156" s="32">
        <v>-206000</v>
      </c>
      <c r="N156" s="32">
        <v>-169500</v>
      </c>
      <c r="O156" s="32">
        <v>-152530</v>
      </c>
      <c r="P156" s="32">
        <v>-138749</v>
      </c>
      <c r="Q156" s="32">
        <v>-128894</v>
      </c>
      <c r="R156" s="32">
        <v>-126358</v>
      </c>
      <c r="S156" s="32">
        <v>-105950</v>
      </c>
      <c r="T156" s="32">
        <v>-126415</v>
      </c>
      <c r="U156" s="32">
        <v>-136268</v>
      </c>
      <c r="V156" s="32">
        <v>-140149</v>
      </c>
      <c r="W156" s="32">
        <v>-157446</v>
      </c>
      <c r="X156" s="32">
        <v>-154404</v>
      </c>
      <c r="Y156" s="32">
        <v>-144856</v>
      </c>
    </row>
    <row r="157" spans="2:25" x14ac:dyDescent="0.3">
      <c r="B157" s="89" t="s">
        <v>565</v>
      </c>
      <c r="D157" s="32">
        <f t="shared" ref="D157:G157" si="90">ROUND(D37, -2)</f>
        <v>580700</v>
      </c>
      <c r="E157" s="32">
        <f t="shared" si="90"/>
        <v>562800</v>
      </c>
      <c r="F157" s="32">
        <f t="shared" si="90"/>
        <v>545100</v>
      </c>
      <c r="G157" s="32">
        <f t="shared" si="90"/>
        <v>509600</v>
      </c>
      <c r="L157" s="32">
        <v>467900</v>
      </c>
      <c r="M157" s="32">
        <v>474100</v>
      </c>
      <c r="N157" s="32">
        <v>436200</v>
      </c>
      <c r="O157" s="32">
        <v>438820</v>
      </c>
      <c r="P157" s="32">
        <v>443484</v>
      </c>
      <c r="Q157" s="32">
        <v>382629</v>
      </c>
      <c r="R157" s="32">
        <v>328962</v>
      </c>
      <c r="S157" s="32">
        <v>290522</v>
      </c>
      <c r="T157" s="32">
        <v>292729</v>
      </c>
      <c r="U157" s="32">
        <v>295945</v>
      </c>
      <c r="V157" s="32">
        <v>258703</v>
      </c>
      <c r="W157" s="32">
        <v>270250</v>
      </c>
      <c r="X157" s="32">
        <v>260132</v>
      </c>
      <c r="Y157" s="32">
        <v>181130</v>
      </c>
    </row>
    <row r="158" spans="2:25" s="39" customFormat="1" x14ac:dyDescent="0.3">
      <c r="B158" s="76" t="s">
        <v>447</v>
      </c>
      <c r="C158" s="25"/>
      <c r="D158" s="77">
        <f t="shared" ref="D158:G158" si="91">SUM(D153:D156, -D157)</f>
        <v>1352815.8274526326</v>
      </c>
      <c r="E158" s="77">
        <f t="shared" si="91"/>
        <v>1266204.1643675598</v>
      </c>
      <c r="F158" s="77">
        <f t="shared" si="91"/>
        <v>1290615.5484251683</v>
      </c>
      <c r="G158" s="77">
        <f t="shared" si="91"/>
        <v>1275073.5942485738</v>
      </c>
      <c r="H158" s="141"/>
      <c r="I158" s="123"/>
      <c r="J158" s="105"/>
      <c r="K158" s="25"/>
      <c r="L158" s="77">
        <f>SUM(L153:L156, -L157)</f>
        <v>1216000</v>
      </c>
      <c r="M158" s="77">
        <f t="shared" ref="M158:Y158" si="92">SUM(M153:M156, -M157)</f>
        <v>1174700</v>
      </c>
      <c r="N158" s="77">
        <f t="shared" si="92"/>
        <v>1186300</v>
      </c>
      <c r="O158" s="77">
        <f t="shared" si="92"/>
        <v>1164065</v>
      </c>
      <c r="P158" s="77">
        <f t="shared" si="92"/>
        <v>1127713</v>
      </c>
      <c r="Q158" s="77">
        <f t="shared" si="92"/>
        <v>1148346</v>
      </c>
      <c r="R158" s="77">
        <f t="shared" si="92"/>
        <v>1172612</v>
      </c>
      <c r="S158" s="77">
        <f t="shared" si="92"/>
        <v>1178079</v>
      </c>
      <c r="T158" s="77">
        <f t="shared" si="92"/>
        <v>1011147</v>
      </c>
      <c r="U158" s="77">
        <f t="shared" si="92"/>
        <v>971648</v>
      </c>
      <c r="V158" s="77">
        <f t="shared" si="92"/>
        <v>968960</v>
      </c>
      <c r="W158" s="77">
        <f t="shared" si="92"/>
        <v>886972</v>
      </c>
      <c r="X158" s="77">
        <f t="shared" si="92"/>
        <v>867552</v>
      </c>
      <c r="Y158" s="77">
        <f t="shared" si="92"/>
        <v>912793</v>
      </c>
    </row>
    <row r="160" spans="2:25" s="64" customFormat="1" hidden="1" outlineLevel="1" x14ac:dyDescent="0.3">
      <c r="B160" s="56" t="str">
        <f>AAN!$B$137</f>
        <v>Statement of Cash Flows</v>
      </c>
      <c r="C160" s="3"/>
      <c r="D160" s="57"/>
      <c r="E160" s="57"/>
      <c r="F160" s="57"/>
      <c r="G160" s="57"/>
      <c r="H160" s="57"/>
      <c r="I160" s="57"/>
      <c r="J160" s="57"/>
      <c r="K160" s="3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</row>
    <row r="161" spans="2:25" hidden="1" outlineLevel="1" x14ac:dyDescent="0.3">
      <c r="B161" s="30" t="s">
        <v>214</v>
      </c>
      <c r="L161" s="32">
        <v>60000</v>
      </c>
      <c r="M161" s="32">
        <v>29800</v>
      </c>
      <c r="N161" s="32">
        <v>125900</v>
      </c>
      <c r="O161" s="32">
        <v>87873</v>
      </c>
      <c r="P161" s="32">
        <v>38648</v>
      </c>
      <c r="Q161" s="32">
        <v>127054</v>
      </c>
      <c r="R161" s="32">
        <v>92277</v>
      </c>
      <c r="S161" s="32">
        <v>35814</v>
      </c>
      <c r="T161" s="32">
        <v>102953</v>
      </c>
      <c r="U161" s="32">
        <v>73072</v>
      </c>
      <c r="V161" s="32">
        <v>33939</v>
      </c>
      <c r="W161" s="32">
        <v>116237</v>
      </c>
      <c r="X161" s="32">
        <v>80871</v>
      </c>
      <c r="Y161" s="32">
        <v>34291</v>
      </c>
    </row>
    <row r="162" spans="2:25" hidden="1" outlineLevel="1" x14ac:dyDescent="0.3">
      <c r="B162" s="30" t="s">
        <v>566</v>
      </c>
      <c r="L162" s="32">
        <v>37400</v>
      </c>
      <c r="M162" s="32">
        <v>18600</v>
      </c>
      <c r="N162" s="32">
        <v>53000</v>
      </c>
      <c r="O162" s="32">
        <v>34861</v>
      </c>
      <c r="P162" s="32">
        <v>16997</v>
      </c>
      <c r="Q162" s="32">
        <v>49961</v>
      </c>
      <c r="R162" s="32">
        <v>32980</v>
      </c>
      <c r="S162" s="32">
        <v>16342</v>
      </c>
      <c r="T162" s="32">
        <v>42758</v>
      </c>
      <c r="U162" s="32">
        <v>27699</v>
      </c>
      <c r="V162" s="32">
        <v>13606</v>
      </c>
      <c r="W162" s="32">
        <v>38067</v>
      </c>
      <c r="X162" s="32">
        <v>25177</v>
      </c>
      <c r="Y162" s="32">
        <v>12464</v>
      </c>
    </row>
    <row r="163" spans="2:25" hidden="1" outlineLevel="1" x14ac:dyDescent="0.3">
      <c r="B163" s="30" t="s">
        <v>533</v>
      </c>
      <c r="L163" s="32">
        <v>12900</v>
      </c>
      <c r="M163" s="32">
        <v>6400</v>
      </c>
      <c r="N163" s="32">
        <v>21200</v>
      </c>
      <c r="O163" s="32">
        <v>14404</v>
      </c>
      <c r="P163" s="32" t="s">
        <v>207</v>
      </c>
      <c r="Q163" s="32" t="s">
        <v>207</v>
      </c>
      <c r="R163" s="32" t="s">
        <v>207</v>
      </c>
      <c r="S163" s="32" t="s">
        <v>207</v>
      </c>
      <c r="T163" s="32" t="s">
        <v>207</v>
      </c>
      <c r="U163" s="32" t="s">
        <v>207</v>
      </c>
      <c r="V163" s="32" t="s">
        <v>207</v>
      </c>
      <c r="W163" s="32" t="s">
        <v>207</v>
      </c>
      <c r="X163" s="32" t="s">
        <v>207</v>
      </c>
      <c r="Y163" s="32" t="s">
        <v>207</v>
      </c>
    </row>
    <row r="164" spans="2:25" hidden="1" outlineLevel="1" x14ac:dyDescent="0.3">
      <c r="B164" s="30" t="s">
        <v>567</v>
      </c>
      <c r="L164" s="32" t="s">
        <v>207</v>
      </c>
      <c r="M164" s="32" t="s">
        <v>207</v>
      </c>
      <c r="N164" s="32" t="s">
        <v>207</v>
      </c>
      <c r="O164" s="32" t="s">
        <v>207</v>
      </c>
      <c r="P164" s="32">
        <v>7624</v>
      </c>
      <c r="Q164" s="32" t="s">
        <v>207</v>
      </c>
      <c r="R164" s="32" t="s">
        <v>207</v>
      </c>
      <c r="S164" s="32" t="s">
        <v>207</v>
      </c>
      <c r="T164" s="32" t="s">
        <v>207</v>
      </c>
      <c r="U164" s="32" t="s">
        <v>207</v>
      </c>
      <c r="V164" s="32" t="s">
        <v>207</v>
      </c>
      <c r="W164" s="32" t="s">
        <v>207</v>
      </c>
      <c r="X164" s="32" t="s">
        <v>207</v>
      </c>
      <c r="Y164" s="32" t="s">
        <v>207</v>
      </c>
    </row>
    <row r="165" spans="2:25" hidden="1" outlineLevel="1" x14ac:dyDescent="0.3">
      <c r="B165" s="30" t="s">
        <v>376</v>
      </c>
      <c r="L165" s="32">
        <v>-3000</v>
      </c>
      <c r="M165" s="32">
        <v>-400</v>
      </c>
      <c r="N165" s="32">
        <v>3600</v>
      </c>
      <c r="O165" s="32">
        <v>5138</v>
      </c>
      <c r="P165" s="32">
        <v>4088</v>
      </c>
      <c r="Q165" s="32">
        <v>4088</v>
      </c>
      <c r="R165" s="32">
        <v>5591</v>
      </c>
      <c r="S165" s="32">
        <v>2675</v>
      </c>
      <c r="T165" s="32">
        <v>16102</v>
      </c>
      <c r="U165" s="32">
        <v>11095</v>
      </c>
      <c r="V165" s="32">
        <v>5503</v>
      </c>
      <c r="W165" s="32">
        <v>14347</v>
      </c>
      <c r="X165" s="32">
        <v>7984</v>
      </c>
      <c r="Y165" s="32">
        <v>5000</v>
      </c>
    </row>
    <row r="166" spans="2:25" hidden="1" outlineLevel="1" x14ac:dyDescent="0.3">
      <c r="B166" s="30" t="s">
        <v>496</v>
      </c>
      <c r="L166" s="32">
        <v>23800</v>
      </c>
      <c r="M166" s="32" t="s">
        <v>207</v>
      </c>
      <c r="N166" s="32">
        <v>10800</v>
      </c>
      <c r="O166" s="32">
        <v>537</v>
      </c>
      <c r="P166" s="32" t="s">
        <v>207</v>
      </c>
      <c r="Q166" s="32">
        <v>27427</v>
      </c>
      <c r="R166" s="32">
        <v>4268</v>
      </c>
      <c r="S166" s="32" t="s">
        <v>207</v>
      </c>
      <c r="T166" s="32">
        <v>9526</v>
      </c>
      <c r="U166" s="32" t="s">
        <v>207</v>
      </c>
      <c r="V166" s="32" t="s">
        <v>207</v>
      </c>
      <c r="W166" s="32">
        <v>12812</v>
      </c>
      <c r="X166" s="32">
        <v>1956</v>
      </c>
      <c r="Y166" s="32">
        <v>932</v>
      </c>
    </row>
    <row r="167" spans="2:25" hidden="1" outlineLevel="1" x14ac:dyDescent="0.3">
      <c r="B167" s="30" t="s">
        <v>375</v>
      </c>
      <c r="L167" s="32">
        <v>21700</v>
      </c>
      <c r="M167" s="32">
        <v>5100</v>
      </c>
      <c r="N167" s="32">
        <v>14400</v>
      </c>
      <c r="O167" s="32">
        <v>10003</v>
      </c>
      <c r="P167" s="32">
        <v>6080</v>
      </c>
      <c r="Q167" s="32">
        <v>14241</v>
      </c>
      <c r="R167" s="32">
        <v>9891</v>
      </c>
      <c r="S167" s="32">
        <v>5642</v>
      </c>
      <c r="T167" s="32">
        <v>14606</v>
      </c>
      <c r="U167" s="32">
        <v>10459</v>
      </c>
      <c r="V167" s="32">
        <v>6074</v>
      </c>
      <c r="W167" s="32">
        <v>14879</v>
      </c>
      <c r="X167" s="32">
        <v>10169</v>
      </c>
      <c r="Y167" s="32">
        <v>5511</v>
      </c>
    </row>
    <row r="168" spans="2:25" hidden="1" outlineLevel="1" x14ac:dyDescent="0.3">
      <c r="B168" s="30" t="s">
        <v>568</v>
      </c>
      <c r="L168" s="32">
        <v>1900</v>
      </c>
      <c r="M168" s="32">
        <v>1000</v>
      </c>
      <c r="N168" s="32">
        <v>3100</v>
      </c>
      <c r="O168" s="32">
        <v>2063</v>
      </c>
      <c r="P168" s="32">
        <v>946</v>
      </c>
      <c r="Q168" s="32">
        <v>2475</v>
      </c>
      <c r="R168" s="32">
        <v>1526</v>
      </c>
      <c r="S168" s="32">
        <v>650</v>
      </c>
      <c r="T168" s="32">
        <v>2852</v>
      </c>
      <c r="U168" s="32">
        <v>1849</v>
      </c>
      <c r="V168" s="32">
        <v>912</v>
      </c>
      <c r="W168" s="32">
        <v>2783</v>
      </c>
      <c r="X168" s="32">
        <v>2085</v>
      </c>
      <c r="Y168" s="32">
        <v>484</v>
      </c>
    </row>
    <row r="169" spans="2:25" hidden="1" outlineLevel="1" x14ac:dyDescent="0.3">
      <c r="B169" s="30" t="s">
        <v>569</v>
      </c>
      <c r="L169" s="32">
        <v>10400</v>
      </c>
      <c r="M169" s="32" t="s">
        <v>207</v>
      </c>
      <c r="N169" s="32" t="s">
        <v>207</v>
      </c>
      <c r="O169" s="32" t="s">
        <v>207</v>
      </c>
      <c r="P169" s="32" t="s">
        <v>207</v>
      </c>
      <c r="Q169" s="32" t="s">
        <v>207</v>
      </c>
      <c r="R169" s="32" t="s">
        <v>207</v>
      </c>
      <c r="S169" s="32" t="s">
        <v>207</v>
      </c>
      <c r="T169" s="32" t="s">
        <v>207</v>
      </c>
      <c r="U169" s="32" t="s">
        <v>207</v>
      </c>
      <c r="V169" s="32" t="s">
        <v>207</v>
      </c>
      <c r="W169" s="32" t="s">
        <v>207</v>
      </c>
      <c r="X169" s="32" t="s">
        <v>207</v>
      </c>
      <c r="Y169" s="32" t="s">
        <v>207</v>
      </c>
    </row>
    <row r="170" spans="2:25" hidden="1" outlineLevel="1" x14ac:dyDescent="0.3">
      <c r="B170" s="30" t="s">
        <v>570</v>
      </c>
      <c r="L170" s="32" t="s">
        <v>207</v>
      </c>
      <c r="M170" s="32" t="s">
        <v>207</v>
      </c>
      <c r="N170" s="32">
        <v>-5900</v>
      </c>
      <c r="O170" s="32">
        <v>-5985</v>
      </c>
      <c r="P170" s="32">
        <v>-5778</v>
      </c>
      <c r="Q170" s="32">
        <v>-26964</v>
      </c>
      <c r="R170" s="32">
        <v>-20686</v>
      </c>
      <c r="S170" s="32">
        <v>-516</v>
      </c>
      <c r="T170" s="32">
        <v>-848</v>
      </c>
      <c r="U170" s="32">
        <v>-314</v>
      </c>
      <c r="V170" s="32">
        <v>-280</v>
      </c>
      <c r="W170" s="32">
        <v>-1812</v>
      </c>
      <c r="X170" s="32">
        <v>-617</v>
      </c>
      <c r="Y170" s="32">
        <v>-590</v>
      </c>
    </row>
    <row r="171" spans="2:25" hidden="1" outlineLevel="1" x14ac:dyDescent="0.3">
      <c r="B171" s="30" t="s">
        <v>571</v>
      </c>
      <c r="L171" s="32" t="s">
        <v>207</v>
      </c>
      <c r="M171" s="32" t="s">
        <v>207</v>
      </c>
      <c r="N171" s="32" t="s">
        <v>207</v>
      </c>
      <c r="O171" s="32" t="s">
        <v>207</v>
      </c>
      <c r="P171" s="32" t="s">
        <v>207</v>
      </c>
      <c r="Q171" s="32" t="s">
        <v>207</v>
      </c>
      <c r="R171" s="32" t="s">
        <v>207</v>
      </c>
      <c r="S171" s="32" t="s">
        <v>207</v>
      </c>
      <c r="T171" s="32" t="s">
        <v>207</v>
      </c>
      <c r="U171" s="32" t="s">
        <v>207</v>
      </c>
      <c r="V171" s="32" t="s">
        <v>207</v>
      </c>
      <c r="W171" s="32">
        <v>148</v>
      </c>
      <c r="X171" s="32">
        <v>85</v>
      </c>
      <c r="Y171" s="32">
        <v>53</v>
      </c>
    </row>
    <row r="172" spans="2:25" hidden="1" outlineLevel="1" x14ac:dyDescent="0.3">
      <c r="B172" s="30" t="s">
        <v>572</v>
      </c>
      <c r="L172" s="32">
        <v>1700</v>
      </c>
      <c r="M172" s="32">
        <v>400</v>
      </c>
      <c r="N172" s="32">
        <v>700</v>
      </c>
      <c r="O172" s="32">
        <v>503</v>
      </c>
      <c r="P172" s="32">
        <v>234</v>
      </c>
      <c r="Q172" s="32">
        <v>589</v>
      </c>
      <c r="R172" s="32">
        <v>65</v>
      </c>
      <c r="S172" s="32">
        <v>-6</v>
      </c>
      <c r="T172" s="32">
        <v>-548</v>
      </c>
      <c r="U172" s="32">
        <v>-676</v>
      </c>
      <c r="V172" s="32">
        <v>-871</v>
      </c>
      <c r="W172" s="32">
        <v>891</v>
      </c>
      <c r="X172" s="32">
        <v>499</v>
      </c>
      <c r="Y172" s="32">
        <v>666</v>
      </c>
    </row>
    <row r="173" spans="2:25" hidden="1" outlineLevel="1" x14ac:dyDescent="0.3">
      <c r="B173" s="30" t="s">
        <v>359</v>
      </c>
      <c r="L173" s="32">
        <v>-48000</v>
      </c>
      <c r="M173" s="32">
        <v>-98100</v>
      </c>
      <c r="N173" s="32">
        <v>99100</v>
      </c>
      <c r="O173" s="32">
        <v>77347</v>
      </c>
      <c r="P173" s="32">
        <v>101618</v>
      </c>
      <c r="Q173" s="32">
        <v>35481</v>
      </c>
      <c r="R173" s="32">
        <v>26121</v>
      </c>
      <c r="S173" s="32">
        <v>65200</v>
      </c>
      <c r="T173" s="32">
        <v>85163</v>
      </c>
      <c r="U173" s="32">
        <v>-28480</v>
      </c>
      <c r="V173" s="32">
        <v>9164</v>
      </c>
      <c r="W173" s="32">
        <v>78905</v>
      </c>
      <c r="X173" s="32">
        <v>15473</v>
      </c>
      <c r="Y173" s="32">
        <v>32180</v>
      </c>
    </row>
    <row r="174" spans="2:25" hidden="1" outlineLevel="1" x14ac:dyDescent="0.3">
      <c r="B174" s="30" t="s">
        <v>573</v>
      </c>
      <c r="L174" s="32">
        <v>64800</v>
      </c>
      <c r="M174" s="32">
        <v>41600</v>
      </c>
      <c r="N174" s="32">
        <v>-31600</v>
      </c>
      <c r="O174" s="32">
        <v>4600</v>
      </c>
      <c r="P174" s="32">
        <v>9155</v>
      </c>
      <c r="Q174" s="32">
        <v>28431</v>
      </c>
      <c r="R174" s="32">
        <v>21185</v>
      </c>
      <c r="S174" s="32">
        <v>12727</v>
      </c>
      <c r="T174" s="32">
        <v>-8892</v>
      </c>
      <c r="U174" s="32">
        <v>13582</v>
      </c>
      <c r="V174" s="32">
        <v>21508</v>
      </c>
      <c r="W174" s="32">
        <v>370</v>
      </c>
      <c r="X174" s="32">
        <v>8564</v>
      </c>
      <c r="Y174" s="32">
        <v>10804</v>
      </c>
    </row>
    <row r="175" spans="2:25" hidden="1" outlineLevel="1" x14ac:dyDescent="0.3">
      <c r="B175" s="30" t="s">
        <v>574</v>
      </c>
      <c r="L175" s="32">
        <v>536700</v>
      </c>
      <c r="M175" s="32">
        <v>-125700</v>
      </c>
      <c r="N175" s="32">
        <v>41700</v>
      </c>
      <c r="O175" s="32">
        <v>31688</v>
      </c>
      <c r="P175" s="32">
        <v>-28058</v>
      </c>
      <c r="Q175" s="32">
        <v>33737</v>
      </c>
      <c r="R175" s="32">
        <v>47272</v>
      </c>
      <c r="S175" s="32">
        <v>7153</v>
      </c>
      <c r="T175" s="32">
        <v>68454</v>
      </c>
      <c r="U175" s="32">
        <v>-142165</v>
      </c>
      <c r="V175" s="32">
        <v>-74254</v>
      </c>
      <c r="W175" s="32">
        <v>60839</v>
      </c>
      <c r="X175" s="32">
        <v>-22080</v>
      </c>
      <c r="Y175" s="32">
        <v>-55737</v>
      </c>
    </row>
    <row r="176" spans="2:25" hidden="1" outlineLevel="1" x14ac:dyDescent="0.3">
      <c r="B176" s="30" t="s">
        <v>575</v>
      </c>
      <c r="L176" s="32">
        <v>77200</v>
      </c>
      <c r="M176" s="32">
        <v>135200</v>
      </c>
      <c r="N176" s="32">
        <v>8100</v>
      </c>
      <c r="O176" s="32">
        <v>12428</v>
      </c>
      <c r="P176" s="32">
        <v>5117</v>
      </c>
      <c r="Q176" s="32">
        <v>70211</v>
      </c>
      <c r="R176" s="32">
        <v>56725</v>
      </c>
      <c r="S176" s="32">
        <v>11237</v>
      </c>
      <c r="T176" s="32">
        <v>-15273</v>
      </c>
      <c r="U176" s="32">
        <v>53405</v>
      </c>
      <c r="V176" s="32">
        <v>56140</v>
      </c>
      <c r="W176" s="32">
        <v>49581</v>
      </c>
      <c r="X176" s="32">
        <v>44667</v>
      </c>
      <c r="Y176" s="32">
        <v>50262</v>
      </c>
    </row>
    <row r="177" spans="2:25" hidden="1" outlineLevel="1" x14ac:dyDescent="0.3">
      <c r="B177" s="30" t="s">
        <v>353</v>
      </c>
      <c r="L177" s="32">
        <v>-4800</v>
      </c>
      <c r="M177" s="32">
        <v>1800</v>
      </c>
      <c r="N177" s="32">
        <v>-10500</v>
      </c>
      <c r="O177" s="32">
        <v>-16500</v>
      </c>
      <c r="P177" s="32">
        <v>-17672</v>
      </c>
      <c r="Q177" s="32">
        <v>-22461</v>
      </c>
      <c r="R177" s="32">
        <v>-9842</v>
      </c>
      <c r="S177" s="32">
        <v>-12548</v>
      </c>
      <c r="T177" s="32">
        <v>-2297</v>
      </c>
      <c r="U177" s="32">
        <v>-2377</v>
      </c>
      <c r="V177" s="32">
        <v>3410</v>
      </c>
      <c r="W177" s="32">
        <v>17957</v>
      </c>
      <c r="X177" s="32">
        <v>15573</v>
      </c>
      <c r="Y177" s="32">
        <v>4476</v>
      </c>
    </row>
    <row r="178" spans="2:25" hidden="1" outlineLevel="1" x14ac:dyDescent="0.3">
      <c r="B178" s="30" t="s">
        <v>576</v>
      </c>
      <c r="L178" s="32">
        <v>-90300</v>
      </c>
      <c r="M178" s="32">
        <v>35900</v>
      </c>
      <c r="N178" s="32">
        <v>-1100</v>
      </c>
      <c r="O178" s="32">
        <v>8839</v>
      </c>
      <c r="P178" s="32">
        <v>-2468</v>
      </c>
      <c r="Q178" s="32">
        <v>13923</v>
      </c>
      <c r="R178" s="32">
        <v>-3535</v>
      </c>
      <c r="S178" s="32">
        <v>5067</v>
      </c>
      <c r="T178" s="32">
        <v>-5164</v>
      </c>
      <c r="U178" s="32">
        <v>37779</v>
      </c>
      <c r="V178" s="32">
        <v>-3126</v>
      </c>
      <c r="W178" s="32">
        <v>-19064</v>
      </c>
      <c r="X178" s="32">
        <v>-17268</v>
      </c>
      <c r="Y178" s="32">
        <v>15410</v>
      </c>
    </row>
    <row r="179" spans="2:25" hidden="1" outlineLevel="1" x14ac:dyDescent="0.3">
      <c r="B179" s="30" t="s">
        <v>577</v>
      </c>
      <c r="L179" s="32">
        <v>-300</v>
      </c>
      <c r="M179" s="32">
        <v>-200</v>
      </c>
      <c r="N179" s="32">
        <v>-400</v>
      </c>
      <c r="O179" s="32">
        <v>-302</v>
      </c>
      <c r="P179" s="32">
        <v>-178</v>
      </c>
      <c r="Q179" s="32">
        <v>-778</v>
      </c>
      <c r="R179" s="32">
        <v>-732</v>
      </c>
      <c r="S179" s="32">
        <v>-655</v>
      </c>
      <c r="T179" s="32">
        <v>475</v>
      </c>
      <c r="U179" s="32">
        <v>-243</v>
      </c>
      <c r="V179" s="32">
        <v>-164</v>
      </c>
      <c r="W179" s="32">
        <v>-328</v>
      </c>
      <c r="X179" s="32">
        <v>-271</v>
      </c>
      <c r="Y179" s="32">
        <v>-131</v>
      </c>
    </row>
    <row r="180" spans="2:25" hidden="1" outlineLevel="1" x14ac:dyDescent="0.3">
      <c r="B180" s="30" t="s">
        <v>248</v>
      </c>
      <c r="L180" s="32">
        <v>-13800</v>
      </c>
      <c r="M180" s="32">
        <v>-7300</v>
      </c>
      <c r="N180" s="32">
        <v>-21300</v>
      </c>
      <c r="O180" s="32">
        <v>-14549</v>
      </c>
      <c r="P180" s="32">
        <v>-8414</v>
      </c>
      <c r="Q180" s="32" t="s">
        <v>207</v>
      </c>
      <c r="R180" s="32" t="s">
        <v>207</v>
      </c>
      <c r="S180" s="32" t="s">
        <v>207</v>
      </c>
      <c r="T180" s="32" t="s">
        <v>207</v>
      </c>
      <c r="U180" s="32" t="s">
        <v>207</v>
      </c>
      <c r="V180" s="32" t="s">
        <v>207</v>
      </c>
      <c r="W180" s="32" t="s">
        <v>207</v>
      </c>
      <c r="X180" s="32" t="s">
        <v>207</v>
      </c>
      <c r="Y180" s="32" t="s">
        <v>207</v>
      </c>
    </row>
    <row r="181" spans="2:25" hidden="1" outlineLevel="1" x14ac:dyDescent="0.3">
      <c r="B181" s="30" t="s">
        <v>281</v>
      </c>
      <c r="L181" s="32">
        <v>688200</v>
      </c>
      <c r="M181" s="32">
        <v>44100</v>
      </c>
      <c r="N181" s="32">
        <v>310800</v>
      </c>
      <c r="O181" s="32">
        <v>252948</v>
      </c>
      <c r="P181" s="32">
        <v>127939</v>
      </c>
      <c r="Q181" s="32">
        <v>357415</v>
      </c>
      <c r="R181" s="32">
        <v>263106</v>
      </c>
      <c r="S181" s="32">
        <v>148782</v>
      </c>
      <c r="T181" s="32">
        <v>309867</v>
      </c>
      <c r="U181" s="32">
        <v>54685</v>
      </c>
      <c r="V181" s="32">
        <v>71561</v>
      </c>
      <c r="W181" s="32">
        <v>386612</v>
      </c>
      <c r="X181" s="32">
        <v>172867</v>
      </c>
      <c r="Y181" s="32">
        <v>116075</v>
      </c>
    </row>
    <row r="182" spans="2:25" hidden="1" outlineLevel="1" x14ac:dyDescent="0.3">
      <c r="B182" s="30" t="s">
        <v>578</v>
      </c>
      <c r="L182" s="32">
        <v>-1300</v>
      </c>
      <c r="M182" s="32" t="s">
        <v>207</v>
      </c>
      <c r="N182" s="32">
        <v>-97000</v>
      </c>
      <c r="O182" s="32" t="s">
        <v>207</v>
      </c>
      <c r="P182" s="32" t="s">
        <v>207</v>
      </c>
      <c r="Q182" s="32">
        <v>-135342</v>
      </c>
      <c r="R182" s="32">
        <v>-74865</v>
      </c>
      <c r="S182" s="32">
        <v>-71499</v>
      </c>
      <c r="T182" s="32">
        <v>-109082</v>
      </c>
      <c r="U182" s="32">
        <v>-95</v>
      </c>
      <c r="V182" s="32">
        <v>-95</v>
      </c>
      <c r="W182" s="32">
        <v>-57327</v>
      </c>
      <c r="X182" s="32">
        <v>-54739</v>
      </c>
      <c r="Y182" s="32">
        <v>-51110</v>
      </c>
    </row>
    <row r="183" spans="2:25" hidden="1" outlineLevel="1" x14ac:dyDescent="0.3">
      <c r="B183" s="30" t="s">
        <v>579</v>
      </c>
      <c r="L183" s="32">
        <v>600</v>
      </c>
      <c r="M183" s="32">
        <v>500</v>
      </c>
      <c r="N183" s="32">
        <v>43100</v>
      </c>
      <c r="O183" s="32">
        <v>37938</v>
      </c>
      <c r="P183" s="32">
        <v>35125</v>
      </c>
      <c r="Q183" s="32">
        <v>107704</v>
      </c>
      <c r="R183" s="32">
        <v>75923</v>
      </c>
      <c r="S183" s="32">
        <v>2940</v>
      </c>
      <c r="T183" s="32">
        <v>5133</v>
      </c>
      <c r="U183" s="32">
        <v>2582</v>
      </c>
      <c r="V183" s="32">
        <v>2207</v>
      </c>
      <c r="W183" s="32">
        <v>23072</v>
      </c>
      <c r="X183" s="32">
        <v>13985</v>
      </c>
      <c r="Y183" s="32">
        <v>13871</v>
      </c>
    </row>
    <row r="184" spans="2:25" hidden="1" outlineLevel="1" x14ac:dyDescent="0.3">
      <c r="B184" s="30" t="s">
        <v>580</v>
      </c>
      <c r="L184" s="32">
        <v>-60500</v>
      </c>
      <c r="M184" s="32">
        <v>-31600</v>
      </c>
      <c r="N184" s="32" t="s">
        <v>207</v>
      </c>
      <c r="O184" s="32" t="s">
        <v>207</v>
      </c>
      <c r="P184" s="32" t="s">
        <v>207</v>
      </c>
      <c r="Q184" s="32" t="s">
        <v>207</v>
      </c>
      <c r="R184" s="32" t="s">
        <v>207</v>
      </c>
      <c r="S184" s="32" t="s">
        <v>207</v>
      </c>
      <c r="T184" s="32" t="s">
        <v>207</v>
      </c>
      <c r="U184" s="32" t="s">
        <v>207</v>
      </c>
      <c r="V184" s="32" t="s">
        <v>207</v>
      </c>
      <c r="W184" s="32" t="s">
        <v>207</v>
      </c>
      <c r="X184" s="32" t="s">
        <v>207</v>
      </c>
      <c r="Y184" s="32" t="s">
        <v>207</v>
      </c>
    </row>
    <row r="185" spans="2:25" hidden="1" outlineLevel="1" x14ac:dyDescent="0.3">
      <c r="B185" s="30" t="s">
        <v>581</v>
      </c>
      <c r="L185" s="32" t="s">
        <v>207</v>
      </c>
      <c r="M185" s="32" t="s">
        <v>207</v>
      </c>
      <c r="N185" s="32">
        <v>-139500</v>
      </c>
      <c r="O185" s="32">
        <v>-109238</v>
      </c>
      <c r="P185" s="32">
        <v>-41711</v>
      </c>
      <c r="Q185" s="32">
        <v>-118215</v>
      </c>
      <c r="R185" s="32">
        <v>-88230</v>
      </c>
      <c r="S185" s="32">
        <v>-47948</v>
      </c>
      <c r="T185" s="32">
        <v>-144310</v>
      </c>
      <c r="U185" s="32">
        <v>-67266</v>
      </c>
      <c r="V185" s="32">
        <v>-46451</v>
      </c>
      <c r="W185" s="32">
        <v>-125692</v>
      </c>
      <c r="X185" s="32">
        <v>-70272</v>
      </c>
      <c r="Y185" s="32">
        <v>-33702</v>
      </c>
    </row>
    <row r="186" spans="2:25" hidden="1" outlineLevel="1" x14ac:dyDescent="0.3">
      <c r="B186" s="30" t="s">
        <v>582</v>
      </c>
      <c r="L186" s="32" t="s">
        <v>207</v>
      </c>
      <c r="M186" s="32" t="s">
        <v>207</v>
      </c>
      <c r="N186" s="32" t="s">
        <v>207</v>
      </c>
      <c r="O186" s="32" t="s">
        <v>207</v>
      </c>
      <c r="P186" s="32" t="s">
        <v>207</v>
      </c>
      <c r="Q186" s="32">
        <v>381</v>
      </c>
      <c r="R186" s="32">
        <v>-655</v>
      </c>
      <c r="S186" s="32" t="s">
        <v>207</v>
      </c>
      <c r="T186" s="32" t="s">
        <v>207</v>
      </c>
      <c r="U186" s="32">
        <v>-57099</v>
      </c>
      <c r="V186" s="32" t="s">
        <v>207</v>
      </c>
      <c r="W186" s="32" t="s">
        <v>207</v>
      </c>
      <c r="X186" s="32" t="s">
        <v>207</v>
      </c>
      <c r="Y186" s="32" t="s">
        <v>207</v>
      </c>
    </row>
    <row r="187" spans="2:25" hidden="1" outlineLevel="1" x14ac:dyDescent="0.3">
      <c r="B187" s="30" t="s">
        <v>583</v>
      </c>
      <c r="L187" s="32" t="s">
        <v>207</v>
      </c>
      <c r="M187" s="32" t="s">
        <v>207</v>
      </c>
      <c r="N187" s="32">
        <v>-100</v>
      </c>
      <c r="O187" s="32">
        <v>-305</v>
      </c>
      <c r="P187" s="32">
        <v>-200</v>
      </c>
      <c r="Q187" s="32" t="s">
        <v>207</v>
      </c>
      <c r="R187" s="32" t="s">
        <v>207</v>
      </c>
      <c r="S187" s="32">
        <v>140</v>
      </c>
      <c r="T187" s="32">
        <v>1526</v>
      </c>
      <c r="U187" s="32">
        <v>2074</v>
      </c>
      <c r="V187" s="32">
        <v>2459</v>
      </c>
      <c r="W187" s="32">
        <v>2924</v>
      </c>
      <c r="X187" s="32">
        <v>3156</v>
      </c>
      <c r="Y187" s="32">
        <v>-106</v>
      </c>
    </row>
    <row r="188" spans="2:25" hidden="1" outlineLevel="1" x14ac:dyDescent="0.3">
      <c r="B188" s="30" t="s">
        <v>287</v>
      </c>
      <c r="L188" s="32">
        <v>-61200</v>
      </c>
      <c r="M188" s="32">
        <v>-31100</v>
      </c>
      <c r="N188" s="32">
        <v>-193500</v>
      </c>
      <c r="O188" s="32">
        <v>-71605</v>
      </c>
      <c r="P188" s="32">
        <v>-6786</v>
      </c>
      <c r="Q188" s="32">
        <v>-145472</v>
      </c>
      <c r="R188" s="32">
        <v>-87827</v>
      </c>
      <c r="S188" s="32">
        <v>-116367</v>
      </c>
      <c r="T188" s="32">
        <v>-246733</v>
      </c>
      <c r="U188" s="32">
        <v>-119804</v>
      </c>
      <c r="V188" s="32">
        <v>-41880</v>
      </c>
      <c r="W188" s="32">
        <v>-157023</v>
      </c>
      <c r="X188" s="32">
        <v>-107870</v>
      </c>
      <c r="Y188" s="32">
        <v>-71047</v>
      </c>
    </row>
    <row r="189" spans="2:25" hidden="1" outlineLevel="1" x14ac:dyDescent="0.3">
      <c r="B189" s="30" t="s">
        <v>584</v>
      </c>
      <c r="L189" s="32">
        <v>2946300</v>
      </c>
      <c r="M189" s="32">
        <v>1691600</v>
      </c>
      <c r="N189" s="32">
        <v>5311200</v>
      </c>
      <c r="O189" s="32">
        <v>3306530</v>
      </c>
      <c r="P189" s="32">
        <v>1631544</v>
      </c>
      <c r="Q189" s="32">
        <v>5106810</v>
      </c>
      <c r="R189" s="32">
        <v>3323798</v>
      </c>
      <c r="S189" s="32">
        <v>1656192</v>
      </c>
      <c r="T189" s="32">
        <v>5053598</v>
      </c>
      <c r="U189" s="32">
        <v>3369580</v>
      </c>
      <c r="V189" s="32">
        <v>1594371</v>
      </c>
      <c r="W189" s="32">
        <v>5040726</v>
      </c>
      <c r="X189" s="32">
        <v>3373126</v>
      </c>
      <c r="Y189" s="32">
        <v>1648527</v>
      </c>
    </row>
    <row r="190" spans="2:25" hidden="1" outlineLevel="1" x14ac:dyDescent="0.3">
      <c r="B190" s="30" t="s">
        <v>585</v>
      </c>
      <c r="L190" s="32">
        <v>-3381400</v>
      </c>
      <c r="M190" s="32">
        <v>-1665600</v>
      </c>
      <c r="N190" s="32">
        <v>-5364300</v>
      </c>
      <c r="O190" s="32">
        <v>-3425359</v>
      </c>
      <c r="P190" s="32">
        <v>-1697455</v>
      </c>
      <c r="Q190" s="32">
        <v>-5185225</v>
      </c>
      <c r="R190" s="32">
        <v>-3461494</v>
      </c>
      <c r="S190" s="32">
        <v>-1702447</v>
      </c>
      <c r="T190" s="32">
        <v>-5108475</v>
      </c>
      <c r="U190" s="32">
        <v>-3288367</v>
      </c>
      <c r="V190" s="32">
        <v>-1598291</v>
      </c>
      <c r="W190" s="32">
        <v>-5147766</v>
      </c>
      <c r="X190" s="32">
        <v>-3325917</v>
      </c>
      <c r="Y190" s="32">
        <v>-1666103</v>
      </c>
    </row>
    <row r="191" spans="2:25" hidden="1" outlineLevel="1" x14ac:dyDescent="0.3">
      <c r="B191" s="30" t="s">
        <v>586</v>
      </c>
      <c r="L191" s="32">
        <v>284000</v>
      </c>
      <c r="M191" s="32">
        <v>30000</v>
      </c>
      <c r="N191" s="32">
        <v>230500</v>
      </c>
      <c r="O191" s="32">
        <v>124159</v>
      </c>
      <c r="P191" s="32">
        <v>107777</v>
      </c>
      <c r="Q191" s="32">
        <v>98596</v>
      </c>
      <c r="R191" s="32">
        <v>98596</v>
      </c>
      <c r="S191" s="32">
        <v>66945</v>
      </c>
      <c r="T191" s="32">
        <v>68085</v>
      </c>
      <c r="U191" s="32">
        <v>47509</v>
      </c>
      <c r="V191" s="32">
        <v>15000</v>
      </c>
      <c r="W191" s="32">
        <v>220020</v>
      </c>
      <c r="X191" s="32">
        <v>150020</v>
      </c>
      <c r="Y191" s="32">
        <v>40000</v>
      </c>
    </row>
    <row r="192" spans="2:25" hidden="1" outlineLevel="1" x14ac:dyDescent="0.3">
      <c r="B192" s="30" t="s">
        <v>587</v>
      </c>
      <c r="L192" s="32">
        <v>-215200</v>
      </c>
      <c r="M192" s="32">
        <v>-30000</v>
      </c>
      <c r="N192" s="32">
        <v>-211400</v>
      </c>
      <c r="O192" s="32">
        <v>-117934</v>
      </c>
      <c r="P192" s="32">
        <v>-111466</v>
      </c>
      <c r="Q192" s="32">
        <v>-91450</v>
      </c>
      <c r="R192" s="32">
        <v>-84884</v>
      </c>
      <c r="S192" s="32">
        <v>-66444</v>
      </c>
      <c r="T192" s="32">
        <v>-35576</v>
      </c>
      <c r="U192" s="32">
        <v>-15000</v>
      </c>
      <c r="V192" s="32">
        <v>-15000</v>
      </c>
      <c r="W192" s="32">
        <v>-220020</v>
      </c>
      <c r="X192" s="32">
        <v>-140020</v>
      </c>
      <c r="Y192" s="32">
        <v>-40000</v>
      </c>
    </row>
    <row r="193" spans="2:25" hidden="1" outlineLevel="1" x14ac:dyDescent="0.3">
      <c r="B193" s="30" t="s">
        <v>296</v>
      </c>
      <c r="L193" s="32">
        <v>-1200</v>
      </c>
      <c r="M193" s="32">
        <v>-100</v>
      </c>
      <c r="N193" s="32">
        <v>-3200</v>
      </c>
      <c r="O193" s="32">
        <v>-3056</v>
      </c>
      <c r="P193" s="32" t="s">
        <v>207</v>
      </c>
      <c r="Q193" s="32" t="s">
        <v>207</v>
      </c>
      <c r="R193" s="32" t="s">
        <v>207</v>
      </c>
      <c r="S193" s="32" t="s">
        <v>207</v>
      </c>
      <c r="T193" s="32" t="s">
        <v>207</v>
      </c>
      <c r="U193" s="32" t="s">
        <v>207</v>
      </c>
      <c r="V193" s="32" t="s">
        <v>207</v>
      </c>
      <c r="W193" s="32" t="s">
        <v>207</v>
      </c>
      <c r="X193" s="32" t="s">
        <v>207</v>
      </c>
      <c r="Y193" s="32" t="s">
        <v>207</v>
      </c>
    </row>
    <row r="194" spans="2:25" hidden="1" outlineLevel="1" x14ac:dyDescent="0.3">
      <c r="B194" s="30" t="s">
        <v>588</v>
      </c>
      <c r="L194" s="32">
        <v>-307900</v>
      </c>
      <c r="M194" s="32" t="s">
        <v>207</v>
      </c>
      <c r="N194" s="32" t="s">
        <v>207</v>
      </c>
      <c r="O194" s="32" t="s">
        <v>207</v>
      </c>
      <c r="P194" s="32" t="s">
        <v>207</v>
      </c>
      <c r="Q194" s="32" t="s">
        <v>207</v>
      </c>
      <c r="R194" s="32" t="s">
        <v>207</v>
      </c>
      <c r="S194" s="32" t="s">
        <v>207</v>
      </c>
      <c r="T194" s="32" t="s">
        <v>207</v>
      </c>
      <c r="U194" s="32" t="s">
        <v>207</v>
      </c>
      <c r="V194" s="32" t="s">
        <v>207</v>
      </c>
      <c r="W194" s="32" t="s">
        <v>207</v>
      </c>
      <c r="X194" s="32" t="s">
        <v>207</v>
      </c>
      <c r="Y194" s="32" t="s">
        <v>207</v>
      </c>
    </row>
    <row r="195" spans="2:25" hidden="1" outlineLevel="1" x14ac:dyDescent="0.3">
      <c r="B195" s="30" t="s">
        <v>589</v>
      </c>
      <c r="L195" s="32">
        <v>41200</v>
      </c>
      <c r="M195" s="32">
        <v>27300</v>
      </c>
      <c r="N195" s="32">
        <v>130800</v>
      </c>
      <c r="O195" s="32">
        <v>76868</v>
      </c>
      <c r="P195" s="32">
        <v>20329</v>
      </c>
      <c r="Q195" s="32">
        <v>123298</v>
      </c>
      <c r="R195" s="32">
        <v>111142</v>
      </c>
      <c r="S195" s="32">
        <v>65614</v>
      </c>
      <c r="T195" s="32">
        <v>126316</v>
      </c>
      <c r="U195" s="32">
        <v>5137</v>
      </c>
      <c r="V195" s="32" t="s">
        <v>207</v>
      </c>
      <c r="W195" s="32">
        <v>37786</v>
      </c>
      <c r="X195" s="32">
        <v>19653</v>
      </c>
      <c r="Y195" s="32">
        <v>7415</v>
      </c>
    </row>
    <row r="196" spans="2:25" hidden="1" outlineLevel="1" x14ac:dyDescent="0.3">
      <c r="B196" s="30" t="s">
        <v>590</v>
      </c>
      <c r="L196" s="32">
        <v>-63600</v>
      </c>
      <c r="M196" s="32">
        <v>-26000</v>
      </c>
      <c r="N196" s="32">
        <v>-133700</v>
      </c>
      <c r="O196" s="32">
        <v>-90187</v>
      </c>
      <c r="P196" s="32">
        <v>-26693</v>
      </c>
      <c r="Q196" s="32">
        <v>-105551</v>
      </c>
      <c r="R196" s="32">
        <v>-75784</v>
      </c>
      <c r="S196" s="32">
        <v>-40078</v>
      </c>
      <c r="T196" s="32">
        <v>-88701</v>
      </c>
      <c r="U196" s="32">
        <v>-542</v>
      </c>
      <c r="V196" s="32">
        <v>-232</v>
      </c>
      <c r="W196" s="32">
        <v>-31832</v>
      </c>
      <c r="X196" s="32">
        <v>-22248</v>
      </c>
      <c r="Y196" s="32">
        <v>-12768</v>
      </c>
    </row>
    <row r="197" spans="2:25" hidden="1" outlineLevel="1" x14ac:dyDescent="0.3">
      <c r="B197" s="30" t="s">
        <v>591</v>
      </c>
      <c r="L197" s="32" t="s">
        <v>207</v>
      </c>
      <c r="M197" s="32" t="s">
        <v>207</v>
      </c>
      <c r="N197" s="32">
        <v>74800</v>
      </c>
      <c r="O197" s="32">
        <v>33184</v>
      </c>
      <c r="P197" s="32" t="s">
        <v>207</v>
      </c>
      <c r="Q197" s="32">
        <v>54712</v>
      </c>
      <c r="R197" s="32">
        <v>54711</v>
      </c>
      <c r="S197" s="32">
        <v>46835</v>
      </c>
      <c r="T197" s="32">
        <v>39031</v>
      </c>
      <c r="U197" s="32">
        <v>12901</v>
      </c>
      <c r="V197" s="32" t="s">
        <v>207</v>
      </c>
      <c r="W197" s="32">
        <v>42654</v>
      </c>
      <c r="X197" s="32">
        <v>30754</v>
      </c>
      <c r="Y197" s="32">
        <v>30331</v>
      </c>
    </row>
    <row r="198" spans="2:25" hidden="1" outlineLevel="1" x14ac:dyDescent="0.3">
      <c r="B198" s="30" t="s">
        <v>592</v>
      </c>
      <c r="L198" s="32">
        <v>188600</v>
      </c>
      <c r="M198" s="32">
        <v>18900</v>
      </c>
      <c r="N198" s="32" t="s">
        <v>207</v>
      </c>
      <c r="O198" s="32" t="s">
        <v>207</v>
      </c>
      <c r="P198" s="32" t="s">
        <v>207</v>
      </c>
      <c r="Q198" s="32" t="s">
        <v>207</v>
      </c>
      <c r="R198" s="32" t="s">
        <v>207</v>
      </c>
      <c r="S198" s="32" t="s">
        <v>207</v>
      </c>
      <c r="T198" s="32" t="s">
        <v>207</v>
      </c>
      <c r="U198" s="32" t="s">
        <v>207</v>
      </c>
      <c r="V198" s="32" t="s">
        <v>207</v>
      </c>
      <c r="W198" s="32" t="s">
        <v>207</v>
      </c>
      <c r="X198" s="32" t="s">
        <v>207</v>
      </c>
      <c r="Y198" s="32" t="s">
        <v>207</v>
      </c>
    </row>
    <row r="199" spans="2:25" hidden="1" outlineLevel="1" x14ac:dyDescent="0.3">
      <c r="B199" s="30" t="s">
        <v>593</v>
      </c>
      <c r="L199" s="32">
        <v>-14600</v>
      </c>
      <c r="M199" s="32">
        <v>-7600</v>
      </c>
      <c r="N199" s="32">
        <v>-112800</v>
      </c>
      <c r="O199" s="32">
        <v>-53287</v>
      </c>
      <c r="P199" s="32">
        <v>-20864</v>
      </c>
      <c r="Q199" s="32">
        <v>-83242</v>
      </c>
      <c r="R199" s="32">
        <v>-63368</v>
      </c>
      <c r="S199" s="32">
        <v>-37819</v>
      </c>
      <c r="T199" s="32">
        <v>-21269</v>
      </c>
      <c r="U199" s="32">
        <v>-13897</v>
      </c>
      <c r="V199" s="32">
        <v>-6831</v>
      </c>
      <c r="W199" s="32">
        <v>-18845</v>
      </c>
      <c r="X199" s="32">
        <v>-12215</v>
      </c>
      <c r="Y199" s="32">
        <v>-5538</v>
      </c>
    </row>
    <row r="200" spans="2:25" hidden="1" outlineLevel="1" x14ac:dyDescent="0.3">
      <c r="B200" s="30" t="s">
        <v>470</v>
      </c>
      <c r="L200" s="32">
        <v>4500</v>
      </c>
      <c r="M200" s="32">
        <v>2500</v>
      </c>
      <c r="N200" s="32" t="s">
        <v>207</v>
      </c>
      <c r="O200" s="32" t="s">
        <v>207</v>
      </c>
      <c r="P200" s="32" t="s">
        <v>207</v>
      </c>
      <c r="Q200" s="32" t="s">
        <v>207</v>
      </c>
      <c r="R200" s="32" t="s">
        <v>207</v>
      </c>
      <c r="S200" s="32" t="s">
        <v>207</v>
      </c>
      <c r="T200" s="32" t="s">
        <v>207</v>
      </c>
      <c r="U200" s="32" t="s">
        <v>207</v>
      </c>
      <c r="V200" s="32" t="s">
        <v>207</v>
      </c>
      <c r="W200" s="32" t="s">
        <v>207</v>
      </c>
      <c r="X200" s="32" t="s">
        <v>207</v>
      </c>
      <c r="Y200" s="32" t="s">
        <v>207</v>
      </c>
    </row>
    <row r="201" spans="2:25" hidden="1" outlineLevel="1" x14ac:dyDescent="0.3">
      <c r="B201" s="30" t="s">
        <v>594</v>
      </c>
      <c r="L201" s="32">
        <v>-5100</v>
      </c>
      <c r="M201" s="32">
        <v>-5000</v>
      </c>
      <c r="N201" s="32" t="s">
        <v>207</v>
      </c>
      <c r="O201" s="32" t="s">
        <v>207</v>
      </c>
      <c r="P201" s="32" t="s">
        <v>207</v>
      </c>
      <c r="Q201" s="32" t="s">
        <v>207</v>
      </c>
      <c r="R201" s="32" t="s">
        <v>207</v>
      </c>
      <c r="S201" s="32" t="s">
        <v>207</v>
      </c>
      <c r="T201" s="32" t="s">
        <v>207</v>
      </c>
      <c r="U201" s="32" t="s">
        <v>207</v>
      </c>
      <c r="V201" s="32" t="s">
        <v>207</v>
      </c>
      <c r="W201" s="32" t="s">
        <v>207</v>
      </c>
      <c r="X201" s="32" t="s">
        <v>207</v>
      </c>
      <c r="Y201" s="32" t="s">
        <v>207</v>
      </c>
    </row>
    <row r="202" spans="2:25" hidden="1" outlineLevel="1" x14ac:dyDescent="0.3">
      <c r="B202" s="30" t="s">
        <v>595</v>
      </c>
      <c r="L202" s="32" t="s">
        <v>207</v>
      </c>
      <c r="M202" s="32" t="s">
        <v>207</v>
      </c>
      <c r="N202" s="32">
        <v>2800</v>
      </c>
      <c r="O202" s="32">
        <v>1005</v>
      </c>
      <c r="P202" s="32">
        <v>-830</v>
      </c>
      <c r="Q202" s="32">
        <v>1529</v>
      </c>
      <c r="R202" s="32">
        <v>11</v>
      </c>
      <c r="S202" s="32">
        <v>-1638</v>
      </c>
      <c r="T202" s="32">
        <v>4196</v>
      </c>
      <c r="U202" s="32">
        <v>2487</v>
      </c>
      <c r="V202" s="32">
        <v>-1030</v>
      </c>
      <c r="W202" s="32">
        <v>1452</v>
      </c>
      <c r="X202" s="32">
        <v>136</v>
      </c>
      <c r="Y202" s="32">
        <v>-1243</v>
      </c>
    </row>
    <row r="203" spans="2:25" hidden="1" outlineLevel="1" x14ac:dyDescent="0.3">
      <c r="B203" s="30" t="s">
        <v>596</v>
      </c>
      <c r="L203" s="32" t="s">
        <v>207</v>
      </c>
      <c r="M203" s="32" t="s">
        <v>207</v>
      </c>
      <c r="N203" s="32" t="s">
        <v>207</v>
      </c>
      <c r="O203" s="32" t="s">
        <v>207</v>
      </c>
      <c r="P203" s="32" t="s">
        <v>207</v>
      </c>
      <c r="Q203" s="32">
        <v>918</v>
      </c>
      <c r="R203" s="32">
        <v>918</v>
      </c>
      <c r="S203" s="32" t="s">
        <v>207</v>
      </c>
      <c r="T203" s="32" t="s">
        <v>207</v>
      </c>
      <c r="U203" s="32" t="s">
        <v>207</v>
      </c>
      <c r="V203" s="32" t="s">
        <v>207</v>
      </c>
      <c r="W203" s="32" t="s">
        <v>207</v>
      </c>
      <c r="X203" s="32" t="s">
        <v>207</v>
      </c>
      <c r="Y203" s="32" t="s">
        <v>207</v>
      </c>
    </row>
    <row r="204" spans="2:25" hidden="1" outlineLevel="1" x14ac:dyDescent="0.3">
      <c r="B204" s="30" t="s">
        <v>597</v>
      </c>
      <c r="L204" s="32">
        <v>-48900</v>
      </c>
      <c r="M204" s="32">
        <v>-48900</v>
      </c>
      <c r="N204" s="32" t="s">
        <v>207</v>
      </c>
      <c r="O204" s="32" t="s">
        <v>207</v>
      </c>
      <c r="P204" s="32" t="s">
        <v>207</v>
      </c>
      <c r="Q204" s="32">
        <v>-108623</v>
      </c>
      <c r="R204" s="32">
        <v>-51276</v>
      </c>
      <c r="S204" s="32">
        <v>-9199</v>
      </c>
      <c r="T204" s="32">
        <v>-40094</v>
      </c>
      <c r="U204" s="32">
        <v>-39025</v>
      </c>
      <c r="V204" s="32" t="s">
        <v>207</v>
      </c>
      <c r="W204" s="32">
        <v>-127606</v>
      </c>
      <c r="X204" s="32">
        <v>-115246</v>
      </c>
      <c r="Y204" s="32">
        <v>-31945</v>
      </c>
    </row>
    <row r="205" spans="2:25" hidden="1" outlineLevel="1" x14ac:dyDescent="0.3">
      <c r="B205" s="30" t="s">
        <v>571</v>
      </c>
      <c r="L205" s="32" t="s">
        <v>207</v>
      </c>
      <c r="M205" s="32" t="s">
        <v>207</v>
      </c>
      <c r="N205" s="32" t="s">
        <v>207</v>
      </c>
      <c r="O205" s="32" t="s">
        <v>207</v>
      </c>
      <c r="P205" s="32" t="s">
        <v>207</v>
      </c>
      <c r="Q205" s="32" t="s">
        <v>207</v>
      </c>
      <c r="R205" s="32" t="s">
        <v>207</v>
      </c>
      <c r="S205" s="32" t="s">
        <v>207</v>
      </c>
      <c r="T205" s="32" t="s">
        <v>207</v>
      </c>
      <c r="U205" s="32" t="s">
        <v>207</v>
      </c>
      <c r="V205" s="32" t="s">
        <v>207</v>
      </c>
      <c r="W205" s="32">
        <v>-148</v>
      </c>
      <c r="X205" s="32">
        <v>-85</v>
      </c>
      <c r="Y205" s="32">
        <v>-53</v>
      </c>
    </row>
    <row r="206" spans="2:25" hidden="1" outlineLevel="1" x14ac:dyDescent="0.3">
      <c r="B206" s="30" t="s">
        <v>399</v>
      </c>
      <c r="L206" s="32">
        <v>-5500</v>
      </c>
      <c r="M206" s="32">
        <v>-5500</v>
      </c>
      <c r="N206" s="32">
        <v>-14800</v>
      </c>
      <c r="O206" s="32">
        <v>-9691</v>
      </c>
      <c r="P206" s="32">
        <v>-4841</v>
      </c>
      <c r="Q206" s="32">
        <v>-16014</v>
      </c>
      <c r="R206" s="32">
        <v>-10836</v>
      </c>
      <c r="S206" s="32">
        <v>-5495</v>
      </c>
      <c r="T206" s="32">
        <v>-15221</v>
      </c>
      <c r="U206" s="32">
        <v>-10200</v>
      </c>
      <c r="V206" s="32">
        <v>-5150</v>
      </c>
      <c r="W206" s="32">
        <v>-15054</v>
      </c>
      <c r="X206" s="32">
        <v>-10124</v>
      </c>
      <c r="Y206" s="32">
        <v>-5148</v>
      </c>
    </row>
    <row r="207" spans="2:25" hidden="1" outlineLevel="1" x14ac:dyDescent="0.3">
      <c r="B207" s="30" t="s">
        <v>404</v>
      </c>
      <c r="L207" s="32" t="s">
        <v>207</v>
      </c>
      <c r="M207" s="32" t="s">
        <v>207</v>
      </c>
      <c r="N207" s="32" t="s">
        <v>207</v>
      </c>
      <c r="O207" s="32" t="s">
        <v>207</v>
      </c>
      <c r="P207" s="32" t="s">
        <v>207</v>
      </c>
      <c r="Q207" s="32" t="s">
        <v>207</v>
      </c>
      <c r="R207" s="32" t="s">
        <v>207</v>
      </c>
      <c r="S207" s="32" t="s">
        <v>207</v>
      </c>
      <c r="T207" s="32" t="s">
        <v>207</v>
      </c>
      <c r="U207" s="32" t="s">
        <v>207</v>
      </c>
      <c r="V207" s="32" t="s">
        <v>207</v>
      </c>
      <c r="W207" s="32">
        <v>-3420</v>
      </c>
      <c r="X207" s="32">
        <v>-3159</v>
      </c>
      <c r="Y207" s="32" t="s">
        <v>207</v>
      </c>
    </row>
    <row r="208" spans="2:25" hidden="1" outlineLevel="1" x14ac:dyDescent="0.3">
      <c r="B208" s="30" t="s">
        <v>298</v>
      </c>
      <c r="L208" s="32">
        <v>-579000</v>
      </c>
      <c r="M208" s="32">
        <v>-18500</v>
      </c>
      <c r="N208" s="32">
        <v>-90100</v>
      </c>
      <c r="O208" s="32">
        <v>-157768</v>
      </c>
      <c r="P208" s="32">
        <v>-102499</v>
      </c>
      <c r="Q208" s="32">
        <v>-204242</v>
      </c>
      <c r="R208" s="32">
        <v>-158466</v>
      </c>
      <c r="S208" s="32">
        <v>-27534</v>
      </c>
      <c r="T208" s="32">
        <v>-18110</v>
      </c>
      <c r="U208" s="32">
        <v>70583</v>
      </c>
      <c r="V208" s="32">
        <v>-17163</v>
      </c>
      <c r="W208" s="32">
        <v>-222053</v>
      </c>
      <c r="X208" s="32">
        <v>-55325</v>
      </c>
      <c r="Y208" s="32">
        <v>-36525</v>
      </c>
    </row>
    <row r="209" spans="2:25" hidden="1" outlineLevel="1" x14ac:dyDescent="0.3">
      <c r="B209" s="30" t="s">
        <v>598</v>
      </c>
      <c r="L209" s="32">
        <v>-3400</v>
      </c>
      <c r="M209" s="32">
        <v>-3400</v>
      </c>
      <c r="N209" s="32">
        <v>-1300</v>
      </c>
      <c r="O209" s="32">
        <v>-755</v>
      </c>
      <c r="P209" s="32">
        <v>-519</v>
      </c>
      <c r="Q209" s="32">
        <v>-2941</v>
      </c>
      <c r="R209" s="32">
        <v>-2812</v>
      </c>
      <c r="S209" s="32">
        <v>47</v>
      </c>
      <c r="T209" s="32">
        <v>867</v>
      </c>
      <c r="U209" s="32">
        <v>117</v>
      </c>
      <c r="V209" s="32">
        <v>260</v>
      </c>
      <c r="W209" s="32">
        <v>2345</v>
      </c>
      <c r="X209" s="32">
        <v>2256</v>
      </c>
      <c r="Y209" s="32">
        <v>841</v>
      </c>
    </row>
    <row r="210" spans="2:25" hidden="1" outlineLevel="1" x14ac:dyDescent="0.3">
      <c r="B210" s="30" t="s">
        <v>475</v>
      </c>
      <c r="L210" s="32" t="s">
        <v>207</v>
      </c>
      <c r="M210" s="32" t="s">
        <v>207</v>
      </c>
      <c r="N210" s="32" t="s">
        <v>207</v>
      </c>
      <c r="O210" s="32" t="s">
        <v>207</v>
      </c>
      <c r="P210" s="32" t="s">
        <v>207</v>
      </c>
      <c r="Q210" s="32" t="s">
        <v>207</v>
      </c>
      <c r="R210" s="32" t="s">
        <v>207</v>
      </c>
      <c r="S210" s="32" t="s">
        <v>207</v>
      </c>
      <c r="T210" s="32">
        <v>45891</v>
      </c>
      <c r="U210" s="32">
        <v>5581</v>
      </c>
      <c r="V210" s="32">
        <v>12778</v>
      </c>
      <c r="W210" s="32">
        <v>9881</v>
      </c>
      <c r="X210" s="32">
        <v>11928</v>
      </c>
      <c r="Y210" s="32">
        <v>9344</v>
      </c>
    </row>
    <row r="211" spans="2:25" hidden="1" outlineLevel="1" x14ac:dyDescent="0.3">
      <c r="B211" s="30" t="s">
        <v>299</v>
      </c>
      <c r="L211" s="32">
        <v>44600</v>
      </c>
      <c r="M211" s="32">
        <v>-8900</v>
      </c>
      <c r="N211" s="32">
        <v>25900</v>
      </c>
      <c r="O211" s="32">
        <v>22820</v>
      </c>
      <c r="P211" s="32">
        <v>18135</v>
      </c>
      <c r="Q211" s="32">
        <v>4760</v>
      </c>
      <c r="R211" s="32">
        <v>14001</v>
      </c>
      <c r="S211" s="32">
        <v>4928</v>
      </c>
      <c r="T211" s="32" t="s">
        <v>207</v>
      </c>
      <c r="U211" s="32" t="s">
        <v>207</v>
      </c>
      <c r="V211" s="32" t="s">
        <v>207</v>
      </c>
      <c r="W211" s="32" t="s">
        <v>207</v>
      </c>
      <c r="X211" s="32" t="s">
        <v>207</v>
      </c>
      <c r="Y211" s="32" t="s">
        <v>207</v>
      </c>
    </row>
    <row r="212" spans="2:25" hidden="1" outlineLevel="1" x14ac:dyDescent="0.3">
      <c r="B212" s="30" t="s">
        <v>599</v>
      </c>
      <c r="L212" s="32" t="s">
        <v>207</v>
      </c>
      <c r="M212" s="32" t="s">
        <v>207</v>
      </c>
      <c r="N212" s="32" t="s">
        <v>207</v>
      </c>
      <c r="O212" s="32" t="s">
        <v>207</v>
      </c>
      <c r="P212" s="32" t="s">
        <v>207</v>
      </c>
      <c r="Q212" s="32" t="s">
        <v>207</v>
      </c>
      <c r="R212" s="32" t="s">
        <v>207</v>
      </c>
      <c r="S212" s="32" t="s">
        <v>207</v>
      </c>
      <c r="T212" s="32">
        <v>20992</v>
      </c>
      <c r="U212" s="32">
        <v>20992</v>
      </c>
      <c r="V212" s="32">
        <v>20992</v>
      </c>
      <c r="W212" s="32">
        <v>13037</v>
      </c>
      <c r="X212" s="32">
        <v>13037</v>
      </c>
      <c r="Y212" s="32">
        <v>13037</v>
      </c>
    </row>
    <row r="213" spans="2:25" hidden="1" outlineLevel="1" x14ac:dyDescent="0.3">
      <c r="B213" s="30" t="s">
        <v>600</v>
      </c>
      <c r="L213" s="32">
        <v>28100</v>
      </c>
      <c r="M213" s="32">
        <v>28100</v>
      </c>
      <c r="N213" s="32">
        <v>18700</v>
      </c>
      <c r="O213" s="32">
        <v>18720</v>
      </c>
      <c r="P213" s="32">
        <v>18720</v>
      </c>
      <c r="Q213" s="32">
        <v>29631</v>
      </c>
      <c r="R213" s="32">
        <v>29631</v>
      </c>
      <c r="S213" s="32">
        <v>29631</v>
      </c>
      <c r="T213" s="32" t="s">
        <v>207</v>
      </c>
      <c r="U213" s="32" t="s">
        <v>207</v>
      </c>
      <c r="V213" s="32" t="s">
        <v>207</v>
      </c>
      <c r="W213" s="32" t="s">
        <v>207</v>
      </c>
      <c r="X213" s="32" t="s">
        <v>207</v>
      </c>
      <c r="Y213" s="32" t="s">
        <v>207</v>
      </c>
    </row>
    <row r="214" spans="2:25" hidden="1" outlineLevel="1" x14ac:dyDescent="0.3">
      <c r="B214" s="30" t="s">
        <v>601</v>
      </c>
      <c r="L214" s="32" t="s">
        <v>207</v>
      </c>
      <c r="M214" s="32" t="s">
        <v>207</v>
      </c>
      <c r="N214" s="32" t="s">
        <v>207</v>
      </c>
      <c r="O214" s="32" t="s">
        <v>207</v>
      </c>
      <c r="P214" s="32" t="s">
        <v>207</v>
      </c>
      <c r="Q214" s="32" t="s">
        <v>207</v>
      </c>
      <c r="R214" s="32" t="s">
        <v>207</v>
      </c>
      <c r="S214" s="32" t="s">
        <v>207</v>
      </c>
      <c r="T214" s="32">
        <v>66883</v>
      </c>
      <c r="U214" s="32">
        <v>26573</v>
      </c>
      <c r="V214" s="32">
        <v>33770</v>
      </c>
      <c r="W214" s="32">
        <v>22918</v>
      </c>
      <c r="X214" s="32">
        <v>24965</v>
      </c>
      <c r="Y214" s="32">
        <v>22381</v>
      </c>
    </row>
    <row r="215" spans="2:25" hidden="1" outlineLevel="1" x14ac:dyDescent="0.3">
      <c r="B215" s="30" t="s">
        <v>602</v>
      </c>
      <c r="L215" s="32">
        <v>72700</v>
      </c>
      <c r="M215" s="32">
        <v>19200</v>
      </c>
      <c r="N215" s="32">
        <v>44600</v>
      </c>
      <c r="O215" s="32">
        <v>41540</v>
      </c>
      <c r="P215" s="32">
        <v>36855</v>
      </c>
      <c r="Q215" s="32">
        <v>34391</v>
      </c>
      <c r="R215" s="32">
        <v>43632</v>
      </c>
      <c r="S215" s="32">
        <v>34559</v>
      </c>
      <c r="T215" s="32" t="s">
        <v>207</v>
      </c>
      <c r="U215" s="32" t="s">
        <v>207</v>
      </c>
      <c r="V215" s="32" t="s">
        <v>207</v>
      </c>
      <c r="W215" s="32" t="s">
        <v>207</v>
      </c>
      <c r="X215" s="32" t="s">
        <v>207</v>
      </c>
      <c r="Y215" s="32" t="s">
        <v>207</v>
      </c>
    </row>
    <row r="216" spans="2:25" hidden="1" outlineLevel="1" x14ac:dyDescent="0.3">
      <c r="B216" s="30" t="s">
        <v>603</v>
      </c>
      <c r="L216" s="32">
        <v>57000</v>
      </c>
      <c r="M216" s="32" t="s">
        <v>207</v>
      </c>
      <c r="N216" s="32" t="s">
        <v>207</v>
      </c>
      <c r="O216" s="32">
        <v>64400</v>
      </c>
      <c r="P216" s="32" t="s">
        <v>207</v>
      </c>
      <c r="Q216" s="32" t="s">
        <v>207</v>
      </c>
      <c r="R216" s="32" t="s">
        <v>207</v>
      </c>
      <c r="S216" s="32" t="s">
        <v>207</v>
      </c>
      <c r="T216" s="32" t="s">
        <v>207</v>
      </c>
      <c r="U216" s="32" t="s">
        <v>207</v>
      </c>
      <c r="V216" s="32" t="s">
        <v>207</v>
      </c>
      <c r="W216" s="32" t="s">
        <v>207</v>
      </c>
      <c r="X216" s="32" t="s">
        <v>207</v>
      </c>
      <c r="Y216" s="32" t="s">
        <v>207</v>
      </c>
    </row>
    <row r="217" spans="2:25" hidden="1" outlineLevel="1" x14ac:dyDescent="0.3">
      <c r="B217" s="30" t="s">
        <v>604</v>
      </c>
      <c r="L217" s="32">
        <v>-68000</v>
      </c>
      <c r="M217" s="32" t="s">
        <v>207</v>
      </c>
      <c r="N217" s="32" t="s">
        <v>207</v>
      </c>
      <c r="O217" s="32">
        <v>19400</v>
      </c>
      <c r="P217" s="32" t="s">
        <v>207</v>
      </c>
      <c r="Q217" s="32" t="s">
        <v>207</v>
      </c>
      <c r="R217" s="32" t="s">
        <v>207</v>
      </c>
      <c r="S217" s="32" t="s">
        <v>207</v>
      </c>
      <c r="T217" s="32" t="s">
        <v>207</v>
      </c>
      <c r="U217" s="32" t="s">
        <v>207</v>
      </c>
      <c r="V217" s="32" t="s">
        <v>207</v>
      </c>
      <c r="W217" s="32" t="s">
        <v>207</v>
      </c>
      <c r="X217" s="32" t="s">
        <v>207</v>
      </c>
      <c r="Y217" s="32" t="s">
        <v>207</v>
      </c>
    </row>
    <row r="218" spans="2:25" collapsed="1" x14ac:dyDescent="0.3"/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G8" xr:uid="{CD40F8FF-1FAF-43BD-A7F8-ACC000BC8CC3}">
      <formula1>"TRUE,FALSE"</formula1>
    </dataValidation>
  </dataValidations>
  <pageMargins left="0.7" right="0.7" top="0.75" bottom="0.75" header="0.3" footer="0.3"/>
  <pageSetup orientation="portrait" horizontalDpi="4294967293" verticalDpi="0" r:id="rId1"/>
  <drawing r:id="rId2"/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401662C-2BFE-4C66-9B75-748386E322B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GPI!L33:V33</xm:f>
              <xm:sqref>W33</xm:sqref>
            </x14:sparkline>
            <x14:sparkline>
              <xm:f>GPI!L34:V34</xm:f>
              <xm:sqref>W34</xm:sqref>
            </x14:sparkline>
          </x14:sparklines>
        </x14:sparklineGroup>
        <x14:sparklineGroup displayEmptyCellsAs="gap" xr2:uid="{4F6311EB-F63D-4F74-8F27-4051F687E4E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GPI!L35:V35</xm:f>
              <xm:sqref>W35</xm:sqref>
            </x14:sparkline>
            <x14:sparkline>
              <xm:f>GPI!L36:V36</xm:f>
              <xm:sqref>W36</xm:sqref>
            </x14:sparkline>
            <x14:sparkline>
              <xm:f>GPI!L37:V37</xm:f>
              <xm:sqref>W37</xm:sqref>
            </x14:sparkline>
          </x14:sparklines>
        </x14:sparklineGroup>
        <x14:sparklineGroup displayEmptyCellsAs="gap" xr2:uid="{C5BC6118-F7BA-4465-A826-88BFFF47CD2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GPI!L24:V24</xm:f>
              <xm:sqref>W24</xm:sqref>
            </x14:sparkline>
          </x14:sparklines>
        </x14:sparklineGroup>
        <x14:sparklineGroup displayEmptyCellsAs="gap" xr2:uid="{1E2E506D-FD8A-4289-92F8-A6BA856DA39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GPI!L22:V22</xm:f>
              <xm:sqref>W22</xm:sqref>
            </x14:sparkline>
            <x14:sparkline>
              <xm:f>GPI!L23:V23</xm:f>
              <xm:sqref>W23</xm:sqref>
            </x14:sparkline>
            <x14:sparkline>
              <xm:f>GPI!L25:V25</xm:f>
              <xm:sqref>W25</xm:sqref>
            </x14:sparkline>
            <x14:sparkline>
              <xm:f>GPI!L26:V26</xm:f>
              <xm:sqref>W26</xm:sqref>
            </x14:sparkline>
            <x14:sparkline>
              <xm:f>GPI!L27:V27</xm:f>
              <xm:sqref>W27</xm:sqref>
            </x14:sparkline>
            <x14:sparkline>
              <xm:f>GPI!L28:V28</xm:f>
              <xm:sqref>W28</xm:sqref>
            </x14:sparkline>
            <x14:sparkline>
              <xm:f>GPI!L29:V29</xm:f>
              <xm:sqref>W29</xm:sqref>
            </x14:sparkline>
            <x14:sparkline>
              <xm:f>GPI!L30:V30</xm:f>
              <xm:sqref>W30</xm:sqref>
            </x14:sparkline>
            <x14:sparkline>
              <xm:f>GPI!L31:V31</xm:f>
              <xm:sqref>W31</xm:sqref>
            </x14:sparkline>
            <x14:sparkline>
              <xm:f>GPI!L32:V32</xm:f>
              <xm:sqref>W32</xm:sqref>
            </x14:sparkline>
          </x14:sparklines>
        </x14:sparklineGroup>
        <x14:sparklineGroup displayEmptyCellsAs="gap" xr2:uid="{17D84E68-078B-4112-B7E2-43C78854373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GPI!L11:V11</xm:f>
              <xm:sqref>W11</xm:sqref>
            </x14:sparkline>
            <x14:sparkline>
              <xm:f>GPI!L12:V12</xm:f>
              <xm:sqref>W12</xm:sqref>
            </x14:sparkline>
            <x14:sparkline>
              <xm:f>GPI!L13:V13</xm:f>
              <xm:sqref>W13</xm:sqref>
            </x14:sparkline>
            <x14:sparkline>
              <xm:f>GPI!L14:V14</xm:f>
              <xm:sqref>W14</xm:sqref>
            </x14:sparkline>
            <x14:sparkline>
              <xm:f>GPI!L15:V15</xm:f>
              <xm:sqref>W15</xm:sqref>
            </x14:sparkline>
            <x14:sparkline>
              <xm:f>GPI!L16:V16</xm:f>
              <xm:sqref>W16</xm:sqref>
            </x14:sparkline>
            <x14:sparkline>
              <xm:f>GPI!L17:V17</xm:f>
              <xm:sqref>W17</xm:sqref>
            </x14:sparkline>
            <x14:sparkline>
              <xm:f>GPI!L18:V18</xm:f>
              <xm:sqref>W18</xm:sqref>
            </x14:sparkline>
            <x14:sparkline>
              <xm:f>GPI!L19:V19</xm:f>
              <xm:sqref>W19</xm:sqref>
            </x14:sparkline>
            <x14:sparkline>
              <xm:f>GPI!L20:V20</xm:f>
              <xm:sqref>W20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E9DB-55FA-4307-B586-61C2FC3193BF}">
  <sheetPr>
    <tabColor theme="4" tint="0.79998168889431442"/>
  </sheetPr>
  <dimension ref="B1:AI159"/>
  <sheetViews>
    <sheetView showGridLines="0" zoomScale="93" zoomScaleNormal="93" workbookViewId="0">
      <pane xSplit="3" ySplit="29" topLeftCell="D30" activePane="bottomRight" state="frozen"/>
      <selection activeCell="G28" sqref="G27:G28"/>
      <selection pane="topRight" activeCell="G28" sqref="G27:G28"/>
      <selection pane="bottomLeft" activeCell="G28" sqref="G27:G28"/>
      <selection pane="bottomRight"/>
    </sheetView>
  </sheetViews>
  <sheetFormatPr defaultColWidth="9.109375" defaultRowHeight="14.4" outlineLevelRow="2" outlineLevelCol="1" x14ac:dyDescent="0.3"/>
  <cols>
    <col min="1" max="1" width="2.6640625" style="24" customWidth="1"/>
    <col min="2" max="2" width="50" style="24" customWidth="1"/>
    <col min="3" max="3" width="2.6640625" customWidth="1"/>
    <col min="4" max="7" width="12.6640625" style="32" customWidth="1"/>
    <col min="8" max="10" width="12.6640625" style="32" hidden="1" customWidth="1" outlineLevel="1"/>
    <col min="11" max="11" width="2.6640625" customWidth="1" collapsed="1"/>
    <col min="12" max="24" width="12.6640625" style="32" customWidth="1"/>
    <col min="25" max="26" width="2.6640625" style="24" customWidth="1"/>
    <col min="27" max="32" width="12" style="24" customWidth="1"/>
    <col min="33" max="33" width="2.6640625" style="24" customWidth="1"/>
    <col min="34" max="34" width="11.33203125" style="219" bestFit="1" customWidth="1"/>
    <col min="35" max="35" width="17.33203125" style="24" bestFit="1" customWidth="1"/>
    <col min="36" max="194" width="12" style="24" customWidth="1"/>
    <col min="195" max="16384" width="9.109375" style="24"/>
  </cols>
  <sheetData>
    <row r="1" spans="2:35" ht="6.9" customHeight="1" x14ac:dyDescent="0.3"/>
    <row r="3" spans="2:35" x14ac:dyDescent="0.3">
      <c r="Y3" s="32"/>
      <c r="Z3" s="32"/>
      <c r="AA3" s="32"/>
    </row>
    <row r="5" spans="2:35" ht="6.9" customHeight="1" x14ac:dyDescent="0.3"/>
    <row r="6" spans="2:35" s="36" customFormat="1" ht="22.8" x14ac:dyDescent="0.4">
      <c r="B6" s="37" t="s">
        <v>605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AH6" s="220"/>
    </row>
    <row r="7" spans="2:35" s="58" customFormat="1" ht="6.9" customHeight="1" x14ac:dyDescent="0.3">
      <c r="C7" s="3"/>
      <c r="D7" s="59"/>
      <c r="E7" s="59"/>
      <c r="F7" s="59"/>
      <c r="G7" s="59"/>
      <c r="H7" s="59"/>
      <c r="I7" s="59"/>
      <c r="J7" s="59"/>
      <c r="K7" s="3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AH7" s="221"/>
    </row>
    <row r="8" spans="2:35" s="58" customFormat="1" x14ac:dyDescent="0.3">
      <c r="C8" s="3"/>
      <c r="D8" s="59"/>
      <c r="E8" s="59"/>
      <c r="F8" s="179" t="s">
        <v>411</v>
      </c>
      <c r="G8" s="176" t="b">
        <v>1</v>
      </c>
      <c r="H8" s="59"/>
      <c r="I8" s="59"/>
      <c r="J8" s="59"/>
      <c r="K8" s="3"/>
      <c r="L8" s="214"/>
      <c r="M8" s="214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AH8" s="221"/>
    </row>
    <row r="9" spans="2:35" s="58" customFormat="1" ht="6.9" customHeight="1" x14ac:dyDescent="0.3">
      <c r="C9" s="3"/>
      <c r="D9" s="59"/>
      <c r="E9" s="59"/>
      <c r="F9" s="59"/>
      <c r="G9" s="59"/>
      <c r="H9" s="59"/>
      <c r="I9" s="59"/>
      <c r="J9" s="59"/>
      <c r="K9" s="3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AH9" s="221"/>
    </row>
    <row r="10" spans="2:35" s="27" customFormat="1" hidden="1" outlineLevel="1" x14ac:dyDescent="0.3">
      <c r="B10" s="56" t="s">
        <v>183</v>
      </c>
      <c r="C10"/>
      <c r="D10" s="63">
        <f>D28</f>
        <v>44500</v>
      </c>
      <c r="E10" s="63">
        <f t="shared" ref="E10:G10" si="0">E28</f>
        <v>44408</v>
      </c>
      <c r="F10" s="63">
        <f t="shared" si="0"/>
        <v>44316</v>
      </c>
      <c r="G10" s="63">
        <f t="shared" si="0"/>
        <v>44135</v>
      </c>
      <c r="H10" s="209" t="s">
        <v>184</v>
      </c>
      <c r="I10" s="210" t="s">
        <v>185</v>
      </c>
      <c r="J10" s="211" t="s">
        <v>186</v>
      </c>
      <c r="K10"/>
      <c r="L10" s="63">
        <f t="shared" ref="L10:U10" si="1">L28</f>
        <v>44043</v>
      </c>
      <c r="M10" s="63">
        <f t="shared" si="1"/>
        <v>43951</v>
      </c>
      <c r="N10" s="63">
        <f t="shared" si="1"/>
        <v>43769</v>
      </c>
      <c r="O10" s="63">
        <f t="shared" si="1"/>
        <v>43677</v>
      </c>
      <c r="P10" s="63">
        <f t="shared" si="1"/>
        <v>43585</v>
      </c>
      <c r="Q10" s="63">
        <f t="shared" si="1"/>
        <v>43404</v>
      </c>
      <c r="R10" s="63">
        <f t="shared" si="1"/>
        <v>43312</v>
      </c>
      <c r="S10" s="63">
        <f t="shared" si="1"/>
        <v>43220</v>
      </c>
      <c r="T10" s="63">
        <f t="shared" si="1"/>
        <v>43039</v>
      </c>
      <c r="U10" s="63">
        <f t="shared" si="1"/>
        <v>42947</v>
      </c>
      <c r="V10" s="63" t="s">
        <v>187</v>
      </c>
      <c r="W10"/>
      <c r="X10"/>
      <c r="AH10" s="222"/>
    </row>
    <row r="11" spans="2:35" hidden="1" outlineLevel="2" x14ac:dyDescent="0.3">
      <c r="B11" s="30" t="s">
        <v>606</v>
      </c>
      <c r="D11" s="81">
        <f t="shared" ref="D11:F12" si="2">IF($G$8, AVERAGE($N11:$Q11), AVERAGE($L11:$M11))</f>
        <v>4.1211518412590964E-2</v>
      </c>
      <c r="E11" s="81">
        <f t="shared" si="2"/>
        <v>4.1211518412590964E-2</v>
      </c>
      <c r="F11" s="81">
        <f t="shared" si="2"/>
        <v>4.1211518412590964E-2</v>
      </c>
      <c r="G11" s="81">
        <f t="shared" ref="G11:G12" si="3">IF($G$8, AVERAGE($N11:$Q11), AVERAGE($L11:$M11))</f>
        <v>4.1211518412590964E-2</v>
      </c>
      <c r="H11" s="188"/>
      <c r="I11" s="188"/>
      <c r="J11" s="188"/>
      <c r="L11" s="60">
        <f t="shared" ref="L11:U11" si="4">IFERROR(L31 / O31 - 1, 0)</f>
        <v>-0.53841327427581021</v>
      </c>
      <c r="M11" s="60">
        <f t="shared" si="4"/>
        <v>-0.36054025557491731</v>
      </c>
      <c r="N11" s="60">
        <f t="shared" si="4"/>
        <v>5.1651379053889057E-2</v>
      </c>
      <c r="O11" s="60">
        <f t="shared" si="4"/>
        <v>3.0725246439079257E-2</v>
      </c>
      <c r="P11" s="60">
        <f t="shared" si="4"/>
        <v>3.5650591833498613E-2</v>
      </c>
      <c r="Q11" s="60">
        <f t="shared" si="4"/>
        <v>4.6818856323896929E-2</v>
      </c>
      <c r="R11" s="60">
        <f t="shared" si="4"/>
        <v>0.16113574941543396</v>
      </c>
      <c r="S11" s="60">
        <f t="shared" si="4"/>
        <v>0.15632218235981266</v>
      </c>
      <c r="T11" s="60">
        <f t="shared" si="4"/>
        <v>0.16018205361549143</v>
      </c>
      <c r="U11" s="60">
        <f t="shared" si="4"/>
        <v>0.17621878299879978</v>
      </c>
      <c r="V11"/>
      <c r="W11"/>
      <c r="X11"/>
    </row>
    <row r="12" spans="2:35" hidden="1" outlineLevel="2" x14ac:dyDescent="0.3">
      <c r="B12" s="30" t="s">
        <v>414</v>
      </c>
      <c r="D12" s="81">
        <f t="shared" si="2"/>
        <v>0.63943040802430673</v>
      </c>
      <c r="E12" s="81">
        <f t="shared" si="2"/>
        <v>0.63943040802430673</v>
      </c>
      <c r="F12" s="81">
        <f t="shared" si="2"/>
        <v>0.63943040802430673</v>
      </c>
      <c r="G12" s="81">
        <f t="shared" si="3"/>
        <v>0.63943040802430673</v>
      </c>
      <c r="H12" s="188"/>
      <c r="I12" s="188"/>
      <c r="J12" s="188"/>
      <c r="L12" s="60">
        <f>L32 / L$31</f>
        <v>0.54681170343054786</v>
      </c>
      <c r="M12" s="60">
        <f t="shared" ref="M12:U12" si="5">M32 / M31</f>
        <v>0.69293635885676486</v>
      </c>
      <c r="N12" s="60">
        <f t="shared" si="5"/>
        <v>0.64638608724010838</v>
      </c>
      <c r="O12" s="60">
        <f t="shared" si="5"/>
        <v>0.6400498841420611</v>
      </c>
      <c r="P12" s="60">
        <f t="shared" si="5"/>
        <v>0.62739601484960983</v>
      </c>
      <c r="Q12" s="60">
        <f t="shared" si="5"/>
        <v>0.64388964586544783</v>
      </c>
      <c r="R12" s="60">
        <f t="shared" si="5"/>
        <v>0.62935050216264499</v>
      </c>
      <c r="S12" s="60">
        <f t="shared" si="5"/>
        <v>0.61662495525081606</v>
      </c>
      <c r="T12" s="60">
        <f t="shared" si="5"/>
        <v>0.61866568844860403</v>
      </c>
      <c r="U12" s="60">
        <f t="shared" si="5"/>
        <v>0.62288338791760689</v>
      </c>
      <c r="V12"/>
      <c r="W12"/>
      <c r="X12"/>
      <c r="AI12" s="229" t="s">
        <v>866</v>
      </c>
    </row>
    <row r="13" spans="2:35" hidden="1" outlineLevel="2" x14ac:dyDescent="0.3">
      <c r="B13" s="30" t="s">
        <v>862</v>
      </c>
      <c r="D13" s="81">
        <f>AVERAGE(G13, N13, Q13)</f>
        <v>0.21955324828801781</v>
      </c>
      <c r="E13" s="81">
        <f t="shared" ref="E13:F13" si="6">AVERAGE(L13, O13, R13)</f>
        <v>0.34474968558428293</v>
      </c>
      <c r="F13" s="81">
        <f t="shared" si="6"/>
        <v>0.34352971513428271</v>
      </c>
      <c r="G13" s="81">
        <f>AVERAGE(N13, Q13, T13)</f>
        <v>0.22387021859355152</v>
      </c>
      <c r="H13" s="188"/>
      <c r="I13" s="188"/>
      <c r="J13" s="188"/>
      <c r="L13" s="60">
        <f>L34 / L$31</f>
        <v>0.41082459658425635</v>
      </c>
      <c r="M13" s="60">
        <f t="shared" ref="M13:U13" si="7">M34 / M$31</f>
        <v>0.38165432909355246</v>
      </c>
      <c r="N13" s="60">
        <f t="shared" si="7"/>
        <v>0.21852121981242517</v>
      </c>
      <c r="O13" s="60">
        <f t="shared" si="7"/>
        <v>0.30509464320103369</v>
      </c>
      <c r="P13" s="60">
        <f t="shared" si="7"/>
        <v>0.31861473091395814</v>
      </c>
      <c r="Q13" s="60">
        <f t="shared" si="7"/>
        <v>0.21626830645807665</v>
      </c>
      <c r="R13" s="60">
        <f t="shared" si="7"/>
        <v>0.31832981696755874</v>
      </c>
      <c r="S13" s="60">
        <f t="shared" si="7"/>
        <v>0.33032008539533758</v>
      </c>
      <c r="T13" s="60">
        <f t="shared" si="7"/>
        <v>0.23682112951015274</v>
      </c>
      <c r="U13" s="60">
        <f t="shared" si="7"/>
        <v>0.36402753872633392</v>
      </c>
      <c r="V13"/>
      <c r="W13"/>
      <c r="X13"/>
      <c r="AH13" s="219" t="s">
        <v>864</v>
      </c>
      <c r="AI13" s="218">
        <f t="array" ref="AI13">INDEX(LINEST($L$22:$U$22, $L$10:$U$10 ^ {1;2}), 1)</f>
        <v>-4.5847163865641943E-2</v>
      </c>
    </row>
    <row r="14" spans="2:35" hidden="1" outlineLevel="2" x14ac:dyDescent="0.3">
      <c r="B14" s="30" t="s">
        <v>190</v>
      </c>
      <c r="D14" s="81">
        <f>AVERAGE(G14, N14, Q14)</f>
        <v>2.6306161345109467</v>
      </c>
      <c r="E14" s="81">
        <f t="shared" ref="E14" si="8">AVERAGE(L14, O14, R14)</f>
        <v>2.0957900331580723</v>
      </c>
      <c r="F14" s="81">
        <f t="shared" ref="F14" si="9">AVERAGE(M14, P14, S14)</f>
        <v>2.1627311524323374</v>
      </c>
      <c r="G14" s="81">
        <f>AVERAGE(N14, Q14, T14)</f>
        <v>2.5889158980046658</v>
      </c>
      <c r="H14" s="91"/>
      <c r="I14" s="91"/>
      <c r="J14" s="91"/>
      <c r="L14" s="60">
        <f>L$34 / L68</f>
        <v>1.8326204091434404</v>
      </c>
      <c r="M14" s="60">
        <f t="shared" ref="M14:U14" si="10">M$34 / M68</f>
        <v>2.1204640829424832</v>
      </c>
      <c r="N14" s="60">
        <f t="shared" si="10"/>
        <v>2.7147418253880877</v>
      </c>
      <c r="O14" s="60">
        <f t="shared" si="10"/>
        <v>2.2963482489362699</v>
      </c>
      <c r="P14" s="60">
        <f t="shared" si="10"/>
        <v>2.2466721574214228</v>
      </c>
      <c r="Q14" s="60">
        <f t="shared" si="10"/>
        <v>2.5881906801400878</v>
      </c>
      <c r="R14" s="60">
        <f t="shared" si="10"/>
        <v>2.1584014413945058</v>
      </c>
      <c r="S14" s="60">
        <f t="shared" si="10"/>
        <v>2.1210572169331052</v>
      </c>
      <c r="T14" s="60">
        <f t="shared" si="10"/>
        <v>2.4638151884858206</v>
      </c>
      <c r="U14" s="60">
        <f t="shared" si="10"/>
        <v>2.0599638176578243</v>
      </c>
      <c r="V14"/>
      <c r="W14"/>
      <c r="X14"/>
      <c r="AH14" s="219" t="s">
        <v>864</v>
      </c>
      <c r="AI14" s="218">
        <f t="array" ref="AI14">INDEX(LINEST($L$22:$U$22, $L$10:$U$10 ^ {1;2}), 1, 2)</f>
        <v>3987.0863935191173</v>
      </c>
    </row>
    <row r="15" spans="2:35" hidden="1" outlineLevel="2" x14ac:dyDescent="0.3">
      <c r="B15" s="30" t="s">
        <v>189</v>
      </c>
      <c r="D15" s="81">
        <f t="shared" ref="D15:F15" si="11">AVERAGE($L15:$N15)</f>
        <v>1.5148835558897067E-2</v>
      </c>
      <c r="E15" s="81">
        <f t="shared" si="11"/>
        <v>1.5148835558897067E-2</v>
      </c>
      <c r="F15" s="81">
        <f t="shared" si="11"/>
        <v>1.5148835558897067E-2</v>
      </c>
      <c r="G15" s="81">
        <f>AVERAGE($L15:$N15)</f>
        <v>1.5148835558897067E-2</v>
      </c>
      <c r="H15" s="215"/>
      <c r="I15" s="91"/>
      <c r="J15" s="91"/>
      <c r="L15" s="81">
        <f t="shared" ref="L15:T15" si="12">L43 / AVERAGE(L94:M94)</f>
        <v>1.3451721774947139E-2</v>
      </c>
      <c r="M15" s="81">
        <f t="shared" si="12"/>
        <v>1.2677941920148143E-2</v>
      </c>
      <c r="N15" s="81">
        <f t="shared" si="12"/>
        <v>1.9316842981595916E-2</v>
      </c>
      <c r="O15" s="81">
        <f t="shared" si="12"/>
        <v>2.0825448562976464E-2</v>
      </c>
      <c r="P15" s="81">
        <f t="shared" si="12"/>
        <v>1.746033357358211E-2</v>
      </c>
      <c r="Q15" s="81">
        <f t="shared" si="12"/>
        <v>1.9390649279125115E-2</v>
      </c>
      <c r="R15" s="81">
        <f t="shared" si="12"/>
        <v>1.9848309151509085E-2</v>
      </c>
      <c r="S15" s="81">
        <f t="shared" si="12"/>
        <v>1.5185177877311024E-2</v>
      </c>
      <c r="T15" s="81">
        <f t="shared" si="12"/>
        <v>3.5845958422406045E-2</v>
      </c>
      <c r="U15" s="81">
        <v>0</v>
      </c>
      <c r="V15"/>
      <c r="W15"/>
      <c r="X15"/>
      <c r="AH15" s="219" t="s">
        <v>865</v>
      </c>
      <c r="AI15" s="218">
        <f t="array" ref="AI15">INDEX(LINEST($L$22:$U$22, $L$10:$U$10 ^ {1;2}), 1, 3)</f>
        <v>-86224611.68116428</v>
      </c>
    </row>
    <row r="16" spans="2:35" hidden="1" outlineLevel="2" x14ac:dyDescent="0.3">
      <c r="B16" s="30" t="s">
        <v>191</v>
      </c>
      <c r="D16" s="81">
        <f t="shared" ref="D16:F16" si="13">IF($G$8, AVERAGE($N16:$Q16), AVERAGE($L16))</f>
        <v>0.24721382091016159</v>
      </c>
      <c r="E16" s="81">
        <f t="shared" si="13"/>
        <v>0.24721382091016159</v>
      </c>
      <c r="F16" s="81">
        <f t="shared" si="13"/>
        <v>0.24721382091016159</v>
      </c>
      <c r="G16" s="81">
        <f>IF($G$8, AVERAGE($N16:$Q16), AVERAGE($L16))</f>
        <v>0.24721382091016159</v>
      </c>
      <c r="H16" s="188"/>
      <c r="I16" s="188"/>
      <c r="J16" s="188"/>
      <c r="L16" s="60">
        <f>L45 / L44</f>
        <v>0.19639407598197037</v>
      </c>
      <c r="M16" s="60">
        <f t="shared" ref="M16:T16" si="14">M45 / M44</f>
        <v>0.2946255474976664</v>
      </c>
      <c r="N16" s="60">
        <f t="shared" si="14"/>
        <v>0.27197166866380201</v>
      </c>
      <c r="O16" s="60">
        <f t="shared" si="14"/>
        <v>0.27747092078757551</v>
      </c>
      <c r="P16" s="60">
        <f t="shared" si="14"/>
        <v>0.17474131432878778</v>
      </c>
      <c r="Q16" s="60">
        <f t="shared" si="14"/>
        <v>0.26467137986048112</v>
      </c>
      <c r="R16" s="60">
        <f t="shared" si="14"/>
        <v>0.22430913709491188</v>
      </c>
      <c r="S16" s="60">
        <f t="shared" si="14"/>
        <v>0.23990772779700115</v>
      </c>
      <c r="T16" s="60">
        <f t="shared" si="14"/>
        <v>0.36204053240795014</v>
      </c>
      <c r="U16" s="60">
        <f t="shared" ref="U16" si="15">U45 / U44</f>
        <v>0.35738393459836498</v>
      </c>
      <c r="V16"/>
      <c r="W16"/>
      <c r="X16"/>
    </row>
    <row r="17" spans="2:34" hidden="1" outlineLevel="1" x14ac:dyDescent="0.3">
      <c r="B17" s="30"/>
      <c r="D17" s="61"/>
      <c r="E17" s="61"/>
      <c r="F17" s="61"/>
      <c r="G17" s="61"/>
      <c r="H17" s="61"/>
      <c r="I17" s="61"/>
      <c r="J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/>
      <c r="W17"/>
      <c r="X17"/>
    </row>
    <row r="18" spans="2:34" hidden="1" outlineLevel="2" x14ac:dyDescent="0.3">
      <c r="B18" s="30" t="s">
        <v>417</v>
      </c>
      <c r="D18" s="81">
        <f>IF($G$8, AVERAGE(G18, N18, Q18), AVERAGE($L18:$M18))</f>
        <v>1.4610163640703793</v>
      </c>
      <c r="E18" s="81">
        <f t="shared" ref="E18:F18" si="16">IF($G$8, AVERAGE(L18, O18, R18), AVERAGE($L18:$M18))</f>
        <v>2.7490824057812984</v>
      </c>
      <c r="F18" s="81">
        <f t="shared" si="16"/>
        <v>2.5262714350275979</v>
      </c>
      <c r="G18" s="81">
        <f>IF($G$8, AVERAGE(N18, Q18, T18), AVERAGE($L18:$M18))</f>
        <v>1.4121232140543327</v>
      </c>
      <c r="H18" s="188"/>
      <c r="I18" s="188"/>
      <c r="J18" s="188"/>
      <c r="L18" s="60">
        <f>L65 / L$31</f>
        <v>3.9491171285143265</v>
      </c>
      <c r="M18" s="60">
        <f t="shared" ref="M18:U18" si="17">M65 / M$31</f>
        <v>3.9840298570092143</v>
      </c>
      <c r="N18" s="60">
        <f t="shared" si="17"/>
        <v>1.4939104203019666</v>
      </c>
      <c r="O18" s="60">
        <f t="shared" si="17"/>
        <v>2.255378231131929</v>
      </c>
      <c r="P18" s="60">
        <f t="shared" si="17"/>
        <v>1.8491804934717277</v>
      </c>
      <c r="Q18" s="60">
        <f t="shared" si="17"/>
        <v>1.4770154578548382</v>
      </c>
      <c r="R18" s="60">
        <f t="shared" si="17"/>
        <v>2.0427518576976396</v>
      </c>
      <c r="S18" s="60">
        <f t="shared" si="17"/>
        <v>1.7456039546018507</v>
      </c>
      <c r="T18" s="60">
        <f t="shared" si="17"/>
        <v>1.2654437640061933</v>
      </c>
      <c r="U18" s="60">
        <f t="shared" si="17"/>
        <v>2.0141318126563643</v>
      </c>
      <c r="V18"/>
      <c r="W18" s="216" t="s">
        <v>863</v>
      </c>
      <c r="X18"/>
    </row>
    <row r="19" spans="2:34" hidden="1" outlineLevel="2" x14ac:dyDescent="0.3">
      <c r="B19" s="30" t="s">
        <v>418</v>
      </c>
      <c r="D19" s="81">
        <f>IF($G$8, AVERAGE(G19, N19, Q19), AVERAGE($L19:$M19))</f>
        <v>0.99404920458328039</v>
      </c>
      <c r="E19" s="81">
        <f t="shared" ref="E19" si="18">IF($G$8, AVERAGE(L19, O19, R19), AVERAGE($L19:$M19))</f>
        <v>2.3942269474235665</v>
      </c>
      <c r="F19" s="81">
        <f t="shared" ref="F19" si="19">IF($G$8, AVERAGE(M19, P19, S19), AVERAGE($L19:$M19))</f>
        <v>2.1757502580578723</v>
      </c>
      <c r="G19" s="81">
        <f>IF($G$8, AVERAGE(N19, Q19, T19), AVERAGE($L19:$M19))</f>
        <v>0.98016826189551798</v>
      </c>
      <c r="H19" s="188"/>
      <c r="I19" s="188"/>
      <c r="J19" s="188"/>
      <c r="L19" s="60">
        <f>L75 / L$31</f>
        <v>3.6879029110533894</v>
      </c>
      <c r="M19" s="60">
        <f t="shared" ref="M19:U19" si="20">M75 / M$31</f>
        <v>2.9247502659633549</v>
      </c>
      <c r="N19" s="60">
        <f t="shared" si="20"/>
        <v>1.101445139724017</v>
      </c>
      <c r="O19" s="60">
        <f t="shared" si="20"/>
        <v>1.9571853664900325</v>
      </c>
      <c r="P19" s="60">
        <f t="shared" si="20"/>
        <v>2.0124504381645072</v>
      </c>
      <c r="Q19" s="60">
        <f t="shared" si="20"/>
        <v>0.90053421213030604</v>
      </c>
      <c r="R19" s="60">
        <f t="shared" si="20"/>
        <v>1.5375925647272761</v>
      </c>
      <c r="S19" s="60">
        <f t="shared" si="20"/>
        <v>1.5900500700457545</v>
      </c>
      <c r="T19" s="60">
        <f t="shared" si="20"/>
        <v>0.93852543383223108</v>
      </c>
      <c r="U19" s="60">
        <f t="shared" si="20"/>
        <v>1.7814596863232008</v>
      </c>
      <c r="V19"/>
      <c r="W19" s="188">
        <f>CORREL(L18:U18,L19:U19)</f>
        <v>0.9462671012121705</v>
      </c>
      <c r="X19"/>
    </row>
    <row r="20" spans="2:34" hidden="1" outlineLevel="2" x14ac:dyDescent="0.3">
      <c r="B20" s="30" t="s">
        <v>419</v>
      </c>
      <c r="D20" s="81">
        <f>IF($G$8, AVERAGE(G20, N20, Q20), AVERAGE($L20:$M20))</f>
        <v>0.57907427997670324</v>
      </c>
      <c r="E20" s="81">
        <f t="shared" ref="E20" si="21">IF($G$8, AVERAGE(L20, O20, R20), AVERAGE($L20:$M20))</f>
        <v>1.2116018551425607</v>
      </c>
      <c r="F20" s="81">
        <f t="shared" ref="F20" si="22">IF($G$8, AVERAGE(M20, P20, S20), AVERAGE($L20:$M20))</f>
        <v>0.86588700233272231</v>
      </c>
      <c r="G20" s="81">
        <f>IF($G$8, AVERAGE(N20, Q20, T20), AVERAGE($L20:$M20))</f>
        <v>0.52423315338945808</v>
      </c>
      <c r="H20" s="188"/>
      <c r="I20" s="188"/>
      <c r="J20" s="188"/>
      <c r="L20" s="60">
        <f>L86 / L$31</f>
        <v>1.5895051343821918</v>
      </c>
      <c r="M20" s="60">
        <f t="shared" ref="M20:U20" si="23">M86 / M$31</f>
        <v>1.0034630773749726</v>
      </c>
      <c r="N20" s="60">
        <f t="shared" si="23"/>
        <v>0.63208711781163285</v>
      </c>
      <c r="O20" s="60">
        <f t="shared" si="23"/>
        <v>1.0828337671534978</v>
      </c>
      <c r="P20" s="60">
        <f t="shared" si="23"/>
        <v>0.85270190923554812</v>
      </c>
      <c r="Q20" s="60">
        <f t="shared" si="23"/>
        <v>0.5809025687290188</v>
      </c>
      <c r="R20" s="60">
        <f t="shared" si="23"/>
        <v>0.96246666389199265</v>
      </c>
      <c r="S20" s="60">
        <f t="shared" si="23"/>
        <v>0.74149602038764639</v>
      </c>
      <c r="T20" s="60">
        <f t="shared" si="23"/>
        <v>0.35970977362772233</v>
      </c>
      <c r="U20" s="60">
        <f t="shared" si="23"/>
        <v>0.73340817760396726</v>
      </c>
      <c r="V20"/>
      <c r="W20" s="188">
        <f>CORREL(L19:U19,L20:U20)</f>
        <v>0.90093089177026631</v>
      </c>
      <c r="X20"/>
    </row>
    <row r="21" spans="2:34" customFormat="1" hidden="1" outlineLevel="1" x14ac:dyDescent="0.3">
      <c r="AH21" s="223"/>
    </row>
    <row r="22" spans="2:34" hidden="1" outlineLevel="2" x14ac:dyDescent="0.3">
      <c r="B22" s="30" t="str">
        <f>B107 &amp; " - Trends (Reg)"</f>
        <v>Additional paid-in capital - Trends (Reg)</v>
      </c>
      <c r="D22" s="217">
        <f>($AI$13 * D$10^2) + ($AI$14 * D$10^1) + $AI$15</f>
        <v>411886.58549898863</v>
      </c>
      <c r="E22" s="217">
        <f>($AI$13 * E$10^2) + ($AI$14 * E$10^1) + $AI$15</f>
        <v>420083.16463214159</v>
      </c>
      <c r="F22" s="217">
        <f>($AI$13 * F$10^2) + ($AI$14 * F$10^1) + $AI$15</f>
        <v>427503.64297538996</v>
      </c>
      <c r="G22" s="217">
        <f>($AI$13 * G$10^2) + ($AI$14 * G$10^1) + $AI$15</f>
        <v>439837.18163388968</v>
      </c>
      <c r="H22" s="182"/>
      <c r="I22" s="189"/>
      <c r="J22" s="90"/>
      <c r="L22" s="155">
        <f>L107</f>
        <v>444384</v>
      </c>
      <c r="M22" s="155">
        <f t="shared" ref="M22:U22" si="24">M107</f>
        <v>449840</v>
      </c>
      <c r="N22" s="155">
        <f t="shared" si="24"/>
        <v>457278</v>
      </c>
      <c r="O22" s="155">
        <f t="shared" si="24"/>
        <v>456195</v>
      </c>
      <c r="P22" s="155">
        <f t="shared" si="24"/>
        <v>456835</v>
      </c>
      <c r="Q22" s="155">
        <f t="shared" si="24"/>
        <v>461457</v>
      </c>
      <c r="R22" s="155">
        <f t="shared" si="24"/>
        <v>460000</v>
      </c>
      <c r="S22" s="155">
        <f t="shared" si="24"/>
        <v>454398</v>
      </c>
      <c r="T22" s="155">
        <f t="shared" si="24"/>
        <v>447555</v>
      </c>
      <c r="U22" s="155">
        <f t="shared" si="24"/>
        <v>448320</v>
      </c>
      <c r="V22"/>
      <c r="W22"/>
      <c r="X22"/>
    </row>
    <row r="23" spans="2:34" hidden="1" outlineLevel="2" x14ac:dyDescent="0.3">
      <c r="B23" s="30" t="str">
        <f>B108 &amp; " - Trends (Reg)"</f>
        <v>Accumulated other comprehensive income (loss) - Trends (Reg)</v>
      </c>
      <c r="D23" s="155">
        <f t="shared" ref="D23:G25" si="25">$I23 + $H23 * D$10</f>
        <v>-25655.416458991589</v>
      </c>
      <c r="E23" s="155">
        <f t="shared" si="25"/>
        <v>-24827.721338381991</v>
      </c>
      <c r="F23" s="155">
        <f t="shared" si="25"/>
        <v>-24000.026217772393</v>
      </c>
      <c r="G23" s="155">
        <f t="shared" si="25"/>
        <v>-22371.626034833957</v>
      </c>
      <c r="H23" s="182">
        <f t="shared" ref="H23:H25" si="26">SLOPE($L23:$U23, $L$10:$U$10)</f>
        <v>-8.9966860935825288</v>
      </c>
      <c r="I23" s="189">
        <f t="shared" ref="I23:I25" si="27">INTERCEPT($L23:$U23, $L$10:$U$10)</f>
        <v>374697.11470543093</v>
      </c>
      <c r="J23" s="90">
        <f>RSQ($L23:$R23, $L$10:$R$10)</f>
        <v>0.51325213430679462</v>
      </c>
      <c r="L23" s="155">
        <f t="shared" ref="L23:R23" si="28">L108</f>
        <v>-18260</v>
      </c>
      <c r="M23" s="155">
        <f t="shared" si="28"/>
        <v>-22034</v>
      </c>
      <c r="N23" s="155">
        <f t="shared" si="28"/>
        <v>-23060</v>
      </c>
      <c r="O23" s="155">
        <f t="shared" si="28"/>
        <v>-16848</v>
      </c>
      <c r="P23" s="155">
        <f t="shared" si="28"/>
        <v>-18421</v>
      </c>
      <c r="Q23" s="155">
        <f t="shared" si="28"/>
        <v>-15566</v>
      </c>
      <c r="R23" s="155">
        <f t="shared" si="28"/>
        <v>-13587</v>
      </c>
      <c r="S23" s="155"/>
      <c r="T23" s="155"/>
      <c r="U23" s="155"/>
      <c r="V23"/>
      <c r="W23"/>
      <c r="X23"/>
    </row>
    <row r="24" spans="2:34" hidden="1" outlineLevel="2" x14ac:dyDescent="0.3">
      <c r="B24" s="30" t="str">
        <f t="shared" ref="B24:B25" si="29">B110 &amp; " - Trends (Reg)"</f>
        <v>Common stock held in treasury, at cost - Trends (Reg)</v>
      </c>
      <c r="D24" s="155">
        <f t="shared" si="25"/>
        <v>57572.26688410854</v>
      </c>
      <c r="E24" s="155">
        <f t="shared" si="25"/>
        <v>53813.502979465062</v>
      </c>
      <c r="F24" s="155">
        <f t="shared" si="25"/>
        <v>50054.739074821817</v>
      </c>
      <c r="G24" s="155">
        <f t="shared" si="25"/>
        <v>42659.779653729871</v>
      </c>
      <c r="H24" s="182">
        <f t="shared" si="26"/>
        <v>40.856129398297398</v>
      </c>
      <c r="I24" s="189">
        <f t="shared" si="27"/>
        <v>-1760525.4913401257</v>
      </c>
      <c r="J24" s="90">
        <f>RSQ($L24:$O24, $L$10:$O$10)</f>
        <v>0.93846937481122839</v>
      </c>
      <c r="L24" s="155">
        <f t="shared" ref="L24:U24" si="30">L110</f>
        <v>27506</v>
      </c>
      <c r="M24" s="155">
        <f t="shared" si="30"/>
        <v>35679</v>
      </c>
      <c r="N24" s="155">
        <f t="shared" si="30"/>
        <v>42030</v>
      </c>
      <c r="O24" s="155">
        <f t="shared" si="30"/>
        <v>44254</v>
      </c>
      <c r="P24" s="155">
        <f t="shared" si="30"/>
        <v>13196</v>
      </c>
      <c r="Q24" s="155">
        <f t="shared" si="30"/>
        <v>0</v>
      </c>
      <c r="R24" s="155">
        <f t="shared" si="30"/>
        <v>233</v>
      </c>
      <c r="S24" s="155">
        <f t="shared" si="30"/>
        <v>283</v>
      </c>
      <c r="T24" s="155">
        <f t="shared" si="30"/>
        <v>455</v>
      </c>
      <c r="U24" s="155">
        <f t="shared" si="30"/>
        <v>1360</v>
      </c>
      <c r="V24"/>
      <c r="W24"/>
      <c r="X24"/>
    </row>
    <row r="25" spans="2:34" hidden="1" outlineLevel="2" x14ac:dyDescent="0.3">
      <c r="B25" s="30" t="str">
        <f t="shared" si="29"/>
        <v>Total G-III stockholders' equity (deficit) - Trends (Reg)</v>
      </c>
      <c r="D25" s="155">
        <f t="shared" si="25"/>
        <v>1355778.4619999724</v>
      </c>
      <c r="E25" s="155">
        <f t="shared" si="25"/>
        <v>1337660.4047991401</v>
      </c>
      <c r="F25" s="155">
        <f t="shared" si="25"/>
        <v>1319542.3475983059</v>
      </c>
      <c r="G25" s="155">
        <f t="shared" si="25"/>
        <v>1283897.039409711</v>
      </c>
      <c r="H25" s="182">
        <f t="shared" si="26"/>
        <v>196.93540435688109</v>
      </c>
      <c r="I25" s="189">
        <f t="shared" si="27"/>
        <v>-7407847.0318812365</v>
      </c>
      <c r="J25" s="90">
        <f t="shared" ref="J25" si="31">RSQ($L25:$U25, $L$10:$U$10)</f>
        <v>0.83483168589069034</v>
      </c>
      <c r="L25" s="155">
        <f t="shared" ref="L25:U25" si="32">L111</f>
        <v>1237749</v>
      </c>
      <c r="M25" s="155">
        <f t="shared" si="32"/>
        <v>1246234</v>
      </c>
      <c r="N25" s="155">
        <f t="shared" si="32"/>
        <v>1260302</v>
      </c>
      <c r="O25" s="155">
        <f t="shared" si="32"/>
        <v>1167820</v>
      </c>
      <c r="P25" s="155">
        <f t="shared" si="32"/>
        <v>1186826</v>
      </c>
      <c r="Q25" s="155">
        <f t="shared" si="32"/>
        <v>1180955</v>
      </c>
      <c r="R25" s="155">
        <f t="shared" si="32"/>
        <v>1087217</v>
      </c>
      <c r="S25" s="155">
        <f t="shared" si="32"/>
        <v>1082924</v>
      </c>
      <c r="T25" s="155">
        <f t="shared" si="32"/>
        <v>1106932</v>
      </c>
      <c r="U25" s="155">
        <f t="shared" si="32"/>
        <v>1021034</v>
      </c>
      <c r="V25"/>
      <c r="W25"/>
      <c r="X25"/>
    </row>
    <row r="26" spans="2:34" hidden="1" outlineLevel="1" x14ac:dyDescent="0.3"/>
    <row r="27" spans="2:34" s="43" customFormat="1" ht="15.9" customHeight="1" collapsed="1" x14ac:dyDescent="0.3">
      <c r="B27" s="40" t="s">
        <v>193</v>
      </c>
      <c r="C27" s="41"/>
      <c r="D27" s="52" t="s">
        <v>194</v>
      </c>
      <c r="E27" s="42"/>
      <c r="F27" s="42"/>
      <c r="G27" s="42"/>
      <c r="H27" s="42"/>
      <c r="I27" s="42"/>
      <c r="J27" s="42"/>
      <c r="K27" s="41"/>
      <c r="L27" s="42" t="s">
        <v>195</v>
      </c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AH27" s="224"/>
    </row>
    <row r="28" spans="2:34" s="48" customFormat="1" ht="15.9" customHeight="1" x14ac:dyDescent="0.3">
      <c r="B28" s="44" t="s">
        <v>196</v>
      </c>
      <c r="C28" s="45"/>
      <c r="D28" s="46">
        <f>EDATE(G28, 12)</f>
        <v>44500</v>
      </c>
      <c r="E28" s="46">
        <f t="shared" ref="E28:F28" si="33">EDATE(L28, 12)</f>
        <v>44408</v>
      </c>
      <c r="F28" s="46">
        <f t="shared" si="33"/>
        <v>44316</v>
      </c>
      <c r="G28" s="46">
        <f>EDATE(N28, 12)</f>
        <v>44135</v>
      </c>
      <c r="H28" s="46"/>
      <c r="I28" s="46"/>
      <c r="J28" s="46"/>
      <c r="K28" s="45"/>
      <c r="L28" s="46">
        <v>44043</v>
      </c>
      <c r="M28" s="46">
        <v>43951</v>
      </c>
      <c r="N28" s="46">
        <v>43769</v>
      </c>
      <c r="O28" s="46">
        <v>43677</v>
      </c>
      <c r="P28" s="46">
        <v>43585</v>
      </c>
      <c r="Q28" s="46">
        <v>43404</v>
      </c>
      <c r="R28" s="46">
        <v>43312</v>
      </c>
      <c r="S28" s="46">
        <v>43220</v>
      </c>
      <c r="T28" s="46">
        <v>43039</v>
      </c>
      <c r="U28" s="46">
        <v>42947</v>
      </c>
      <c r="V28" s="46">
        <v>42855</v>
      </c>
      <c r="W28" s="46">
        <v>42674</v>
      </c>
      <c r="X28" s="46">
        <v>42490</v>
      </c>
      <c r="AH28" s="225"/>
    </row>
    <row r="29" spans="2:34" s="48" customFormat="1" ht="15.9" customHeight="1" x14ac:dyDescent="0.3">
      <c r="B29" s="44" t="s">
        <v>197</v>
      </c>
      <c r="C29" s="45"/>
      <c r="D29" s="49" t="str">
        <f>G29</f>
        <v>3rd Quarter</v>
      </c>
      <c r="E29" s="49" t="str">
        <f t="shared" ref="E29:F29" si="34">L29</f>
        <v>2nd Quarter</v>
      </c>
      <c r="F29" s="49" t="str">
        <f t="shared" si="34"/>
        <v>1st Quarter</v>
      </c>
      <c r="G29" s="49" t="str">
        <f>N29</f>
        <v>3rd Quarter</v>
      </c>
      <c r="H29" s="49"/>
      <c r="I29" s="49"/>
      <c r="J29" s="49"/>
      <c r="K29" s="45"/>
      <c r="L29" s="47" t="s">
        <v>198</v>
      </c>
      <c r="M29" s="47" t="s">
        <v>199</v>
      </c>
      <c r="N29" s="47" t="s">
        <v>200</v>
      </c>
      <c r="O29" s="47" t="s">
        <v>198</v>
      </c>
      <c r="P29" s="47" t="s">
        <v>199</v>
      </c>
      <c r="Q29" s="47" t="s">
        <v>200</v>
      </c>
      <c r="R29" s="47" t="s">
        <v>198</v>
      </c>
      <c r="S29" s="47" t="s">
        <v>199</v>
      </c>
      <c r="T29" s="47" t="s">
        <v>200</v>
      </c>
      <c r="U29" s="47" t="s">
        <v>198</v>
      </c>
      <c r="V29" s="47" t="s">
        <v>199</v>
      </c>
      <c r="W29" s="47" t="s">
        <v>200</v>
      </c>
      <c r="X29" s="47" t="s">
        <v>199</v>
      </c>
      <c r="AH29" s="225"/>
    </row>
    <row r="30" spans="2:34" s="27" customFormat="1" x14ac:dyDescent="0.3">
      <c r="B30" s="28" t="s">
        <v>201</v>
      </c>
      <c r="C30"/>
      <c r="D30" s="35"/>
      <c r="E30" s="35"/>
      <c r="F30" s="35"/>
      <c r="G30" s="35"/>
      <c r="H30" s="35"/>
      <c r="I30" s="35"/>
      <c r="J30" s="35"/>
      <c r="K30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AH30" s="222"/>
    </row>
    <row r="31" spans="2:34" x14ac:dyDescent="0.3">
      <c r="B31" s="89" t="s">
        <v>607</v>
      </c>
      <c r="D31" s="192">
        <f>G31 * (1 + D11)</f>
        <v>1223325.8695473683</v>
      </c>
      <c r="E31" s="192">
        <f t="shared" ref="E31:F31" si="35">L31 * (1 + E11)</f>
        <v>309460.55781044299</v>
      </c>
      <c r="F31" s="192">
        <f t="shared" si="35"/>
        <v>421827.06366601138</v>
      </c>
      <c r="G31" s="192">
        <f>N31 * (1 + G11)</f>
        <v>1174906.2010113229</v>
      </c>
      <c r="H31" s="192"/>
      <c r="I31" s="192"/>
      <c r="J31" s="192"/>
      <c r="K31" s="191"/>
      <c r="L31" s="192">
        <v>297212</v>
      </c>
      <c r="M31" s="192">
        <v>405131</v>
      </c>
      <c r="N31" s="192">
        <v>1128403</v>
      </c>
      <c r="O31" s="192">
        <v>643892</v>
      </c>
      <c r="P31" s="192">
        <v>633552</v>
      </c>
      <c r="Q31" s="192">
        <v>1072982</v>
      </c>
      <c r="R31" s="192">
        <v>624698</v>
      </c>
      <c r="S31" s="192">
        <v>611743</v>
      </c>
      <c r="T31" s="192">
        <v>1024993</v>
      </c>
      <c r="U31" s="192">
        <v>538006</v>
      </c>
      <c r="V31" s="192">
        <v>529042</v>
      </c>
      <c r="W31" s="192">
        <v>883476</v>
      </c>
      <c r="X31" s="192">
        <v>457403</v>
      </c>
    </row>
    <row r="32" spans="2:34" x14ac:dyDescent="0.3">
      <c r="B32" s="89" t="s">
        <v>608</v>
      </c>
      <c r="D32" s="192">
        <f t="shared" ref="D32:F32" si="36">D31 * D12</f>
        <v>782231.75991136348</v>
      </c>
      <c r="E32" s="192">
        <f t="shared" si="36"/>
        <v>197878.49074816113</v>
      </c>
      <c r="F32" s="192">
        <f t="shared" si="36"/>
        <v>269729.05143565289</v>
      </c>
      <c r="G32" s="192">
        <f>G31 * G12</f>
        <v>751270.75150295836</v>
      </c>
      <c r="H32" s="192"/>
      <c r="I32" s="192"/>
      <c r="J32" s="192"/>
      <c r="K32" s="191"/>
      <c r="L32" s="192">
        <v>162519</v>
      </c>
      <c r="M32" s="192">
        <v>280730</v>
      </c>
      <c r="N32" s="192">
        <v>729384</v>
      </c>
      <c r="O32" s="192">
        <v>412123</v>
      </c>
      <c r="P32" s="192">
        <v>397488</v>
      </c>
      <c r="Q32" s="192">
        <v>690882</v>
      </c>
      <c r="R32" s="192">
        <v>393154</v>
      </c>
      <c r="S32" s="192">
        <v>377216</v>
      </c>
      <c r="T32" s="192">
        <v>634128</v>
      </c>
      <c r="U32" s="192">
        <v>335115</v>
      </c>
      <c r="V32" s="192">
        <v>327186</v>
      </c>
      <c r="W32" s="192">
        <v>562024</v>
      </c>
      <c r="X32" s="192">
        <v>291734</v>
      </c>
      <c r="Y32"/>
      <c r="Z32"/>
    </row>
    <row r="33" spans="2:34" s="39" customFormat="1" x14ac:dyDescent="0.3">
      <c r="B33" s="76" t="s">
        <v>489</v>
      </c>
      <c r="C33" s="25"/>
      <c r="D33" s="153">
        <f t="shared" ref="D33" si="37">D31 - D32</f>
        <v>441094.10963600478</v>
      </c>
      <c r="E33" s="153">
        <f t="shared" ref="E33" si="38">E31 - E32</f>
        <v>111582.06706228186</v>
      </c>
      <c r="F33" s="153">
        <f t="shared" ref="F33" si="39">F31 - F32</f>
        <v>152098.01223035849</v>
      </c>
      <c r="G33" s="153">
        <f t="shared" ref="G33" si="40">G31 - G32</f>
        <v>423635.44950836455</v>
      </c>
      <c r="H33" s="153"/>
      <c r="I33" s="153"/>
      <c r="J33" s="153"/>
      <c r="K33" s="195"/>
      <c r="L33" s="153">
        <f t="shared" ref="L33:X33" si="41">L31 - L32</f>
        <v>134693</v>
      </c>
      <c r="M33" s="153">
        <f t="shared" si="41"/>
        <v>124401</v>
      </c>
      <c r="N33" s="153">
        <f t="shared" si="41"/>
        <v>399019</v>
      </c>
      <c r="O33" s="153">
        <f t="shared" si="41"/>
        <v>231769</v>
      </c>
      <c r="P33" s="153">
        <f t="shared" si="41"/>
        <v>236064</v>
      </c>
      <c r="Q33" s="153">
        <f t="shared" si="41"/>
        <v>382100</v>
      </c>
      <c r="R33" s="153">
        <f t="shared" si="41"/>
        <v>231544</v>
      </c>
      <c r="S33" s="153">
        <f t="shared" si="41"/>
        <v>234527</v>
      </c>
      <c r="T33" s="153">
        <f t="shared" si="41"/>
        <v>390865</v>
      </c>
      <c r="U33" s="153">
        <f t="shared" si="41"/>
        <v>202891</v>
      </c>
      <c r="V33" s="153">
        <f t="shared" si="41"/>
        <v>201856</v>
      </c>
      <c r="W33" s="153">
        <f t="shared" si="41"/>
        <v>321452</v>
      </c>
      <c r="X33" s="153">
        <f t="shared" si="41"/>
        <v>165669</v>
      </c>
      <c r="Y33"/>
      <c r="Z33"/>
      <c r="AH33" s="226"/>
    </row>
    <row r="34" spans="2:34" x14ac:dyDescent="0.3">
      <c r="B34" s="89" t="s">
        <v>494</v>
      </c>
      <c r="D34" s="192">
        <f t="shared" ref="D34:F34" si="42">D31 * D13</f>
        <v>268585.16837388865</v>
      </c>
      <c r="E34" s="192">
        <f t="shared" si="42"/>
        <v>106686.43000588703</v>
      </c>
      <c r="F34" s="192">
        <f t="shared" si="42"/>
        <v>144910.13101711584</v>
      </c>
      <c r="G34" s="192">
        <f>G31 * G13</f>
        <v>263026.50804732402</v>
      </c>
      <c r="H34" s="192"/>
      <c r="I34" s="192"/>
      <c r="J34" s="192"/>
      <c r="K34" s="191"/>
      <c r="L34" s="192">
        <v>122102</v>
      </c>
      <c r="M34" s="192">
        <v>154620</v>
      </c>
      <c r="N34" s="192">
        <v>246580</v>
      </c>
      <c r="O34" s="192">
        <v>196448</v>
      </c>
      <c r="P34" s="192">
        <v>201859</v>
      </c>
      <c r="Q34" s="192">
        <v>232052</v>
      </c>
      <c r="R34" s="192">
        <v>198860</v>
      </c>
      <c r="S34" s="192">
        <v>202071</v>
      </c>
      <c r="T34" s="192">
        <v>242740</v>
      </c>
      <c r="U34" s="192">
        <v>195849</v>
      </c>
      <c r="V34" s="192">
        <v>197411</v>
      </c>
      <c r="W34" s="192">
        <v>198274</v>
      </c>
      <c r="X34" s="192">
        <v>153105</v>
      </c>
    </row>
    <row r="35" spans="2:34" x14ac:dyDescent="0.3">
      <c r="B35" s="89" t="s">
        <v>566</v>
      </c>
      <c r="D35" s="192">
        <f t="shared" ref="D35:F35" si="43">D14 * D68</f>
        <v>0</v>
      </c>
      <c r="E35" s="192">
        <f t="shared" si="43"/>
        <v>0</v>
      </c>
      <c r="F35" s="192">
        <f t="shared" si="43"/>
        <v>0</v>
      </c>
      <c r="G35" s="192">
        <f>G14 * G68</f>
        <v>0</v>
      </c>
      <c r="H35" s="192"/>
      <c r="I35" s="192"/>
      <c r="J35" s="192"/>
      <c r="K35" s="191"/>
      <c r="L35" s="192">
        <v>9691</v>
      </c>
      <c r="M35" s="192">
        <v>9867</v>
      </c>
      <c r="N35" s="192">
        <v>9701</v>
      </c>
      <c r="O35" s="192">
        <v>9789</v>
      </c>
      <c r="P35" s="192">
        <v>9473</v>
      </c>
      <c r="Q35" s="192">
        <v>10033</v>
      </c>
      <c r="R35" s="192">
        <v>9455</v>
      </c>
      <c r="S35" s="192">
        <v>9380</v>
      </c>
      <c r="T35" s="192">
        <v>6906</v>
      </c>
      <c r="U35" s="192">
        <v>10736</v>
      </c>
      <c r="V35" s="192">
        <v>9838</v>
      </c>
      <c r="W35" s="192">
        <v>8033</v>
      </c>
      <c r="X35" s="192">
        <v>7193</v>
      </c>
    </row>
    <row r="36" spans="2:34" x14ac:dyDescent="0.3">
      <c r="B36" s="89" t="s">
        <v>609</v>
      </c>
      <c r="D36" s="192">
        <v>0</v>
      </c>
      <c r="E36" s="192">
        <v>0</v>
      </c>
      <c r="F36" s="192">
        <v>0</v>
      </c>
      <c r="G36" s="192">
        <v>0</v>
      </c>
      <c r="H36" s="192"/>
      <c r="I36" s="192"/>
      <c r="J36" s="192"/>
      <c r="K36" s="191"/>
      <c r="L36" s="192">
        <v>14302</v>
      </c>
      <c r="M36" s="192">
        <v>0</v>
      </c>
      <c r="N36" s="192">
        <v>0</v>
      </c>
      <c r="O36" s="192">
        <v>0</v>
      </c>
      <c r="P36" s="192">
        <v>0</v>
      </c>
      <c r="Q36" s="192">
        <v>0</v>
      </c>
      <c r="R36" s="192">
        <v>0</v>
      </c>
      <c r="S36" s="192">
        <v>0</v>
      </c>
      <c r="T36" s="192">
        <v>0</v>
      </c>
      <c r="U36" s="192">
        <v>0</v>
      </c>
      <c r="V36" s="192">
        <v>0</v>
      </c>
      <c r="W36" s="192">
        <v>0</v>
      </c>
      <c r="X36" s="192">
        <v>0</v>
      </c>
    </row>
    <row r="37" spans="2:34" x14ac:dyDescent="0.3">
      <c r="B37" s="89" t="s">
        <v>610</v>
      </c>
      <c r="D37" s="192">
        <v>0</v>
      </c>
      <c r="E37" s="192">
        <v>0</v>
      </c>
      <c r="F37" s="192">
        <v>0</v>
      </c>
      <c r="G37" s="192">
        <v>0</v>
      </c>
      <c r="H37" s="192"/>
      <c r="I37" s="192"/>
      <c r="J37" s="192"/>
      <c r="K37" s="191"/>
      <c r="L37" s="192">
        <v>0</v>
      </c>
      <c r="M37" s="192">
        <v>-3187</v>
      </c>
      <c r="N37" s="192">
        <v>124</v>
      </c>
      <c r="O37" s="192">
        <v>1393</v>
      </c>
      <c r="P37" s="192">
        <v>829</v>
      </c>
      <c r="Q37" s="192">
        <v>0</v>
      </c>
      <c r="R37" s="192">
        <v>0</v>
      </c>
      <c r="S37" s="192">
        <v>0</v>
      </c>
      <c r="T37" s="192">
        <v>0</v>
      </c>
      <c r="U37" s="192">
        <v>0</v>
      </c>
      <c r="V37" s="192">
        <v>0</v>
      </c>
      <c r="W37" s="192">
        <v>0</v>
      </c>
      <c r="X37" s="192">
        <v>0</v>
      </c>
      <c r="Y37"/>
      <c r="Z37"/>
    </row>
    <row r="38" spans="2:34" s="39" customFormat="1" x14ac:dyDescent="0.3">
      <c r="B38" s="76" t="s">
        <v>323</v>
      </c>
      <c r="C38" s="25"/>
      <c r="D38" s="153">
        <f t="shared" ref="D38" si="44">D33 - SUM(D34:D36) + D37</f>
        <v>172508.94126211613</v>
      </c>
      <c r="E38" s="153">
        <f t="shared" ref="E38" si="45">E33 - SUM(E34:E36) + E37</f>
        <v>4895.6370563948294</v>
      </c>
      <c r="F38" s="153">
        <f t="shared" ref="F38" si="46">F33 - SUM(F34:F36) + F37</f>
        <v>7187.8812132426538</v>
      </c>
      <c r="G38" s="153">
        <f t="shared" ref="G38" si="47">G33 - SUM(G34:G36) + G37</f>
        <v>160608.94146104052</v>
      </c>
      <c r="H38" s="153"/>
      <c r="I38" s="153"/>
      <c r="J38" s="153"/>
      <c r="K38" s="195"/>
      <c r="L38" s="153">
        <f t="shared" ref="L38" si="48">L33 - SUM(L34:L36) + L37</f>
        <v>-11402</v>
      </c>
      <c r="M38" s="153">
        <f t="shared" ref="M38" si="49">M33 - SUM(M34:M36) + M37</f>
        <v>-43273</v>
      </c>
      <c r="N38" s="153">
        <f t="shared" ref="N38" si="50">N33 - SUM(N34:N36) + N37</f>
        <v>142862</v>
      </c>
      <c r="O38" s="153">
        <f t="shared" ref="O38" si="51">O33 - SUM(O34:O36) + O37</f>
        <v>26925</v>
      </c>
      <c r="P38" s="153">
        <f t="shared" ref="P38" si="52">P33 - SUM(P34:P36) + P37</f>
        <v>25561</v>
      </c>
      <c r="Q38" s="153">
        <f t="shared" ref="Q38" si="53">Q33 - SUM(Q34:Q36) + Q37</f>
        <v>140015</v>
      </c>
      <c r="R38" s="153">
        <f t="shared" ref="R38" si="54">R33 - SUM(R34:R36) + R37</f>
        <v>23229</v>
      </c>
      <c r="S38" s="153">
        <f t="shared" ref="S38" si="55">S33 - SUM(S34:S36) + S37</f>
        <v>23076</v>
      </c>
      <c r="T38" s="153">
        <f t="shared" ref="T38" si="56">T33 - SUM(T34:T36) + T37</f>
        <v>141219</v>
      </c>
      <c r="U38" s="153">
        <f t="shared" ref="U38" si="57">U33 - SUM(U34:U36) + U37</f>
        <v>-3694</v>
      </c>
      <c r="V38" s="153">
        <f t="shared" ref="V38" si="58">V33 - SUM(V34:V36) + V37</f>
        <v>-5393</v>
      </c>
      <c r="W38" s="153">
        <f t="shared" ref="W38" si="59">W33 - SUM(W34:W36) + W37</f>
        <v>115145</v>
      </c>
      <c r="X38" s="153">
        <f t="shared" ref="X38" si="60">X33 - SUM(X34:X36) + X37</f>
        <v>5371</v>
      </c>
      <c r="Y38"/>
      <c r="Z38"/>
      <c r="AH38" s="226"/>
    </row>
    <row r="39" spans="2:34" x14ac:dyDescent="0.3">
      <c r="B39" s="89" t="s">
        <v>611</v>
      </c>
      <c r="D39" s="192">
        <v>0</v>
      </c>
      <c r="E39" s="192">
        <v>0</v>
      </c>
      <c r="F39" s="192">
        <v>0</v>
      </c>
      <c r="G39" s="192">
        <v>0</v>
      </c>
      <c r="H39" s="192"/>
      <c r="I39" s="192"/>
      <c r="J39" s="192"/>
      <c r="K39" s="191"/>
      <c r="L39" s="192">
        <v>0</v>
      </c>
      <c r="M39" s="192">
        <v>0</v>
      </c>
      <c r="N39" s="192">
        <v>0</v>
      </c>
      <c r="O39" s="192">
        <v>0</v>
      </c>
      <c r="P39" s="192">
        <v>0</v>
      </c>
      <c r="Q39" s="192">
        <v>0</v>
      </c>
      <c r="R39" s="192">
        <v>0</v>
      </c>
      <c r="S39" s="192">
        <v>0</v>
      </c>
      <c r="T39" s="192">
        <v>0</v>
      </c>
      <c r="U39" s="192">
        <v>0</v>
      </c>
      <c r="V39" s="192">
        <v>-1152</v>
      </c>
      <c r="W39" s="192">
        <v>0</v>
      </c>
      <c r="X39" s="192">
        <v>269</v>
      </c>
    </row>
    <row r="40" spans="2:34" x14ac:dyDescent="0.3">
      <c r="B40" s="89" t="s">
        <v>612</v>
      </c>
      <c r="D40" s="192">
        <v>0</v>
      </c>
      <c r="E40" s="192">
        <v>0</v>
      </c>
      <c r="F40" s="192">
        <v>0</v>
      </c>
      <c r="G40" s="192">
        <v>0</v>
      </c>
      <c r="H40" s="192"/>
      <c r="I40" s="192"/>
      <c r="J40" s="192"/>
      <c r="K40" s="191"/>
      <c r="L40" s="192">
        <v>0</v>
      </c>
      <c r="M40" s="192">
        <v>0</v>
      </c>
      <c r="N40" s="192">
        <v>0</v>
      </c>
      <c r="O40" s="192">
        <v>0</v>
      </c>
      <c r="P40" s="192">
        <v>0</v>
      </c>
      <c r="Q40" s="192">
        <v>0</v>
      </c>
      <c r="R40" s="192">
        <v>0</v>
      </c>
      <c r="S40" s="192">
        <v>0</v>
      </c>
      <c r="T40" s="192">
        <v>612</v>
      </c>
      <c r="U40" s="192">
        <v>0</v>
      </c>
      <c r="V40" s="192">
        <v>0</v>
      </c>
      <c r="W40" s="192">
        <v>-1437</v>
      </c>
      <c r="X40" s="192">
        <v>0</v>
      </c>
      <c r="Y40" s="32">
        <f t="shared" ref="Y40" si="61">Y31 - Y39</f>
        <v>0</v>
      </c>
    </row>
    <row r="41" spans="2:34" x14ac:dyDescent="0.3">
      <c r="B41" s="89" t="s">
        <v>613</v>
      </c>
      <c r="D41" s="192">
        <v>0</v>
      </c>
      <c r="E41" s="192">
        <v>0</v>
      </c>
      <c r="F41" s="192">
        <v>0</v>
      </c>
      <c r="G41" s="192">
        <v>0</v>
      </c>
      <c r="H41" s="192"/>
      <c r="I41" s="192"/>
      <c r="J41" s="192"/>
      <c r="K41" s="191"/>
      <c r="L41" s="192">
        <v>-1943</v>
      </c>
      <c r="M41" s="192">
        <v>2056</v>
      </c>
      <c r="N41" s="192">
        <v>0</v>
      </c>
      <c r="O41" s="192">
        <v>751</v>
      </c>
      <c r="P41" s="192">
        <v>648</v>
      </c>
      <c r="Q41" s="192">
        <v>0</v>
      </c>
      <c r="R41" s="192">
        <v>0</v>
      </c>
      <c r="S41" s="192">
        <v>451</v>
      </c>
      <c r="T41" s="192">
        <v>0</v>
      </c>
      <c r="U41" s="192">
        <v>0</v>
      </c>
      <c r="V41" s="192">
        <v>0</v>
      </c>
      <c r="W41" s="192">
        <v>0</v>
      </c>
      <c r="X41" s="192">
        <v>0</v>
      </c>
    </row>
    <row r="42" spans="2:34" x14ac:dyDescent="0.3">
      <c r="B42" s="89" t="s">
        <v>614</v>
      </c>
      <c r="D42" s="192">
        <v>0</v>
      </c>
      <c r="E42" s="192">
        <v>0</v>
      </c>
      <c r="F42" s="192">
        <v>0</v>
      </c>
      <c r="G42" s="192">
        <v>0</v>
      </c>
      <c r="H42" s="192"/>
      <c r="I42" s="192"/>
      <c r="J42" s="192"/>
      <c r="K42" s="191"/>
      <c r="L42" s="192">
        <v>0</v>
      </c>
      <c r="M42" s="192">
        <v>0</v>
      </c>
      <c r="N42" s="192">
        <v>677</v>
      </c>
      <c r="O42" s="192">
        <v>0</v>
      </c>
      <c r="P42" s="192">
        <v>0</v>
      </c>
      <c r="Q42" s="192">
        <v>176</v>
      </c>
      <c r="R42" s="192">
        <v>-28</v>
      </c>
      <c r="S42" s="192">
        <v>0</v>
      </c>
      <c r="T42" s="192">
        <v>0</v>
      </c>
      <c r="U42" s="192">
        <v>0</v>
      </c>
      <c r="V42" s="192">
        <v>0</v>
      </c>
      <c r="W42" s="192">
        <v>0</v>
      </c>
      <c r="X42" s="192">
        <v>0</v>
      </c>
    </row>
    <row r="43" spans="2:34" x14ac:dyDescent="0.3">
      <c r="B43" s="89" t="s">
        <v>615</v>
      </c>
      <c r="D43" s="192">
        <f t="shared" ref="D43:E43" si="62">D15 * AVERAGE(D94:E94)</f>
        <v>10075.891974364749</v>
      </c>
      <c r="E43" s="192">
        <f t="shared" si="62"/>
        <v>10075.891974364749</v>
      </c>
      <c r="F43" s="192">
        <f>F15 * AVERAGE(F94:G94)</f>
        <v>10075.891974364749</v>
      </c>
      <c r="G43" s="192">
        <f>G15 * AVERAGE(G94:L94)</f>
        <v>8332.2950864157046</v>
      </c>
      <c r="H43" s="192"/>
      <c r="I43" s="192"/>
      <c r="J43" s="192"/>
      <c r="K43" s="191"/>
      <c r="L43" s="192">
        <v>9177</v>
      </c>
      <c r="M43" s="192">
        <v>10379</v>
      </c>
      <c r="N43" s="192">
        <v>12518</v>
      </c>
      <c r="O43" s="192">
        <v>10785</v>
      </c>
      <c r="P43" s="192">
        <v>10320</v>
      </c>
      <c r="Q43" s="192">
        <v>12323</v>
      </c>
      <c r="R43" s="192">
        <v>10210</v>
      </c>
      <c r="S43" s="192">
        <v>9620</v>
      </c>
      <c r="T43" s="192">
        <v>13884</v>
      </c>
      <c r="U43" s="192">
        <v>9639</v>
      </c>
      <c r="V43" s="192">
        <v>9949</v>
      </c>
      <c r="W43" s="192">
        <v>1701</v>
      </c>
      <c r="X43" s="192">
        <v>1242</v>
      </c>
      <c r="Y43"/>
      <c r="Z43"/>
    </row>
    <row r="44" spans="2:34" s="39" customFormat="1" x14ac:dyDescent="0.3">
      <c r="B44" s="76" t="s">
        <v>212</v>
      </c>
      <c r="C44" s="25"/>
      <c r="D44" s="153">
        <f t="shared" ref="D44:G44" si="63">SUM(D38:D40, D42, -D41, -D43)</f>
        <v>162433.04928775138</v>
      </c>
      <c r="E44" s="153">
        <f t="shared" si="63"/>
        <v>-5180.2549179699199</v>
      </c>
      <c r="F44" s="153">
        <f t="shared" si="63"/>
        <v>-2888.0107611220956</v>
      </c>
      <c r="G44" s="153">
        <f t="shared" si="63"/>
        <v>152276.6463746248</v>
      </c>
      <c r="H44" s="153"/>
      <c r="I44" s="153"/>
      <c r="J44" s="153"/>
      <c r="K44" s="195"/>
      <c r="L44" s="153">
        <f>SUM(L38:L40, L42, -L41, -L43)</f>
        <v>-18636</v>
      </c>
      <c r="M44" s="153">
        <f t="shared" ref="M44:X44" si="64">SUM(M38:M40, M42, -M41, -M43)</f>
        <v>-55708</v>
      </c>
      <c r="N44" s="153">
        <f t="shared" si="64"/>
        <v>131021</v>
      </c>
      <c r="O44" s="153">
        <f t="shared" si="64"/>
        <v>15389</v>
      </c>
      <c r="P44" s="153">
        <f t="shared" si="64"/>
        <v>14593</v>
      </c>
      <c r="Q44" s="153">
        <f t="shared" si="64"/>
        <v>127868</v>
      </c>
      <c r="R44" s="153">
        <f t="shared" si="64"/>
        <v>12991</v>
      </c>
      <c r="S44" s="153">
        <f t="shared" si="64"/>
        <v>13005</v>
      </c>
      <c r="T44" s="153">
        <f t="shared" si="64"/>
        <v>127947</v>
      </c>
      <c r="U44" s="153">
        <f t="shared" si="64"/>
        <v>-13333</v>
      </c>
      <c r="V44" s="153">
        <f t="shared" si="64"/>
        <v>-16494</v>
      </c>
      <c r="W44" s="153">
        <f t="shared" si="64"/>
        <v>112007</v>
      </c>
      <c r="X44" s="153">
        <f t="shared" si="64"/>
        <v>4398</v>
      </c>
      <c r="Y44"/>
      <c r="Z44"/>
      <c r="AH44" s="226"/>
    </row>
    <row r="45" spans="2:34" x14ac:dyDescent="0.3">
      <c r="B45" s="89" t="s">
        <v>329</v>
      </c>
      <c r="D45" s="192">
        <f t="shared" ref="D45:F45" si="65">D44 * D16</f>
        <v>40155.694756513622</v>
      </c>
      <c r="E45" s="192">
        <f t="shared" si="65"/>
        <v>-1280.6306115599996</v>
      </c>
      <c r="F45" s="192">
        <f t="shared" si="65"/>
        <v>-713.95617508665714</v>
      </c>
      <c r="G45" s="192">
        <f>G44 * G16</f>
        <v>37644.8915856565</v>
      </c>
      <c r="H45" s="192"/>
      <c r="I45" s="192"/>
      <c r="J45" s="192"/>
      <c r="K45" s="191"/>
      <c r="L45" s="192">
        <v>-3660</v>
      </c>
      <c r="M45" s="192">
        <v>-16413</v>
      </c>
      <c r="N45" s="192">
        <v>35634</v>
      </c>
      <c r="O45" s="192">
        <v>4270</v>
      </c>
      <c r="P45" s="192">
        <v>2550</v>
      </c>
      <c r="Q45" s="192">
        <v>33843</v>
      </c>
      <c r="R45" s="192">
        <v>2914</v>
      </c>
      <c r="S45" s="192">
        <v>3120</v>
      </c>
      <c r="T45" s="192">
        <v>46322</v>
      </c>
      <c r="U45" s="192">
        <v>-4765</v>
      </c>
      <c r="V45" s="192">
        <v>-6103</v>
      </c>
      <c r="W45" s="192">
        <v>41443</v>
      </c>
      <c r="X45" s="192">
        <v>1627</v>
      </c>
      <c r="Y45"/>
      <c r="Z45"/>
    </row>
    <row r="46" spans="2:34" s="39" customFormat="1" x14ac:dyDescent="0.3">
      <c r="B46" s="76" t="s">
        <v>214</v>
      </c>
      <c r="C46" s="25"/>
      <c r="D46" s="153">
        <f t="shared" ref="D46:G46" si="66">D44 - D45</f>
        <v>122277.35453123775</v>
      </c>
      <c r="E46" s="153">
        <f t="shared" si="66"/>
        <v>-3899.6243064099203</v>
      </c>
      <c r="F46" s="153">
        <f t="shared" si="66"/>
        <v>-2174.0545860354387</v>
      </c>
      <c r="G46" s="153">
        <f t="shared" si="66"/>
        <v>114631.7547889683</v>
      </c>
      <c r="H46" s="153"/>
      <c r="I46" s="153"/>
      <c r="J46" s="153"/>
      <c r="K46" s="195"/>
      <c r="L46" s="153">
        <f>L44 - L45</f>
        <v>-14976</v>
      </c>
      <c r="M46" s="153">
        <f t="shared" ref="M46:X46" si="67">M44 - M45</f>
        <v>-39295</v>
      </c>
      <c r="N46" s="153">
        <f t="shared" si="67"/>
        <v>95387</v>
      </c>
      <c r="O46" s="153">
        <f t="shared" si="67"/>
        <v>11119</v>
      </c>
      <c r="P46" s="153">
        <f t="shared" si="67"/>
        <v>12043</v>
      </c>
      <c r="Q46" s="153">
        <f t="shared" si="67"/>
        <v>94025</v>
      </c>
      <c r="R46" s="153">
        <f t="shared" si="67"/>
        <v>10077</v>
      </c>
      <c r="S46" s="153">
        <f t="shared" si="67"/>
        <v>9885</v>
      </c>
      <c r="T46" s="153">
        <f t="shared" si="67"/>
        <v>81625</v>
      </c>
      <c r="U46" s="153">
        <f t="shared" si="67"/>
        <v>-8568</v>
      </c>
      <c r="V46" s="153">
        <f t="shared" si="67"/>
        <v>-10391</v>
      </c>
      <c r="W46" s="153">
        <f t="shared" si="67"/>
        <v>70564</v>
      </c>
      <c r="X46" s="153">
        <f t="shared" si="67"/>
        <v>2771</v>
      </c>
      <c r="Y46"/>
      <c r="Z46"/>
      <c r="AH46" s="226"/>
    </row>
    <row r="47" spans="2:34" x14ac:dyDescent="0.3">
      <c r="B47" s="89" t="s">
        <v>616</v>
      </c>
      <c r="D47" s="192">
        <v>0</v>
      </c>
      <c r="E47" s="192">
        <v>0</v>
      </c>
      <c r="F47" s="192">
        <v>0</v>
      </c>
      <c r="G47" s="192">
        <v>0</v>
      </c>
      <c r="H47" s="192"/>
      <c r="I47" s="192"/>
      <c r="J47" s="192"/>
      <c r="K47" s="191"/>
      <c r="L47" s="192">
        <v>0</v>
      </c>
      <c r="M47" s="192">
        <v>0</v>
      </c>
      <c r="N47" s="192">
        <v>0</v>
      </c>
      <c r="O47" s="192">
        <v>0</v>
      </c>
      <c r="P47" s="192">
        <v>0</v>
      </c>
      <c r="Q47" s="192">
        <v>0</v>
      </c>
      <c r="R47" s="192">
        <v>0</v>
      </c>
      <c r="S47" s="192">
        <v>0</v>
      </c>
      <c r="T47" s="192">
        <v>0</v>
      </c>
      <c r="U47" s="192">
        <v>0</v>
      </c>
      <c r="V47" s="192">
        <v>-10391</v>
      </c>
      <c r="W47" s="192">
        <v>70564</v>
      </c>
      <c r="X47" s="192">
        <v>2771</v>
      </c>
    </row>
    <row r="48" spans="2:34" hidden="1" outlineLevel="1" x14ac:dyDescent="0.3">
      <c r="B48" s="89" t="s">
        <v>427</v>
      </c>
      <c r="L48" s="192">
        <v>48214</v>
      </c>
      <c r="M48" s="192">
        <v>48025</v>
      </c>
      <c r="N48" s="192">
        <v>47768</v>
      </c>
      <c r="O48" s="192">
        <v>48450</v>
      </c>
      <c r="P48" s="192">
        <v>48781</v>
      </c>
      <c r="Q48" s="192">
        <v>49231</v>
      </c>
      <c r="R48" s="192">
        <v>49169</v>
      </c>
      <c r="S48" s="192">
        <v>49127</v>
      </c>
      <c r="T48" s="192">
        <v>48846</v>
      </c>
      <c r="U48" s="192">
        <v>48689</v>
      </c>
      <c r="V48" s="192">
        <v>48648</v>
      </c>
      <c r="W48" s="192">
        <v>45918</v>
      </c>
      <c r="X48" s="192">
        <v>45549</v>
      </c>
    </row>
    <row r="49" spans="2:34" hidden="1" outlineLevel="1" x14ac:dyDescent="0.3">
      <c r="B49" s="89" t="s">
        <v>428</v>
      </c>
      <c r="L49" s="192">
        <v>48214</v>
      </c>
      <c r="M49" s="192">
        <v>48025</v>
      </c>
      <c r="N49" s="192">
        <v>48356</v>
      </c>
      <c r="O49" s="192">
        <v>49116</v>
      </c>
      <c r="P49" s="192">
        <v>49774</v>
      </c>
      <c r="Q49" s="192">
        <v>50494</v>
      </c>
      <c r="R49" s="192">
        <v>50415</v>
      </c>
      <c r="S49" s="192">
        <v>50137</v>
      </c>
      <c r="T49" s="192">
        <v>49528</v>
      </c>
      <c r="U49" s="192">
        <v>48689</v>
      </c>
      <c r="V49" s="192">
        <v>48648</v>
      </c>
      <c r="W49" s="192">
        <v>46902</v>
      </c>
      <c r="X49" s="192">
        <v>46942</v>
      </c>
    </row>
    <row r="50" spans="2:34" hidden="1" outlineLevel="1" x14ac:dyDescent="0.3">
      <c r="B50" s="89" t="s">
        <v>220</v>
      </c>
      <c r="L50" s="192">
        <v>48359</v>
      </c>
      <c r="M50" s="192">
        <v>46708</v>
      </c>
      <c r="N50" s="192">
        <v>47825</v>
      </c>
      <c r="O50" s="192">
        <v>47745</v>
      </c>
      <c r="P50" s="192">
        <v>48923</v>
      </c>
      <c r="Q50" s="192">
        <v>49356</v>
      </c>
      <c r="R50" s="192">
        <v>49179</v>
      </c>
      <c r="S50" s="192">
        <v>49153</v>
      </c>
      <c r="T50" s="192">
        <v>49081</v>
      </c>
      <c r="U50" s="192">
        <v>48708</v>
      </c>
      <c r="V50" s="192">
        <v>48662</v>
      </c>
      <c r="W50" s="192">
        <v>46031</v>
      </c>
      <c r="X50" s="192">
        <v>45564</v>
      </c>
    </row>
    <row r="51" spans="2:34" hidden="1" outlineLevel="1" x14ac:dyDescent="0.3">
      <c r="B51" s="89" t="s">
        <v>846</v>
      </c>
      <c r="L51" s="31">
        <v>0.31</v>
      </c>
      <c r="M51" s="31">
        <v>0.82</v>
      </c>
      <c r="N51" s="31">
        <v>2</v>
      </c>
      <c r="O51" s="31">
        <v>0.23</v>
      </c>
      <c r="P51" s="31">
        <v>0.25</v>
      </c>
      <c r="Q51" s="31">
        <v>1.91</v>
      </c>
      <c r="R51" s="31">
        <v>0.2</v>
      </c>
      <c r="S51" s="31">
        <v>0.2</v>
      </c>
      <c r="T51" s="31">
        <v>1.67</v>
      </c>
      <c r="U51" s="31">
        <v>0.18</v>
      </c>
      <c r="V51" s="31">
        <v>0.21</v>
      </c>
      <c r="W51" s="31">
        <v>1.54</v>
      </c>
      <c r="X51" s="31">
        <v>0.06</v>
      </c>
    </row>
    <row r="52" spans="2:34" hidden="1" outlineLevel="1" x14ac:dyDescent="0.3">
      <c r="B52" s="89" t="s">
        <v>847</v>
      </c>
      <c r="L52" s="31">
        <v>0.31</v>
      </c>
      <c r="M52" s="31">
        <v>0.82</v>
      </c>
      <c r="N52" s="31">
        <v>1.97</v>
      </c>
      <c r="O52" s="31">
        <v>0.23</v>
      </c>
      <c r="P52" s="31">
        <v>0.24</v>
      </c>
      <c r="Q52" s="31">
        <v>1.86</v>
      </c>
      <c r="R52" s="31">
        <v>0.2</v>
      </c>
      <c r="S52" s="31">
        <v>0.2</v>
      </c>
      <c r="T52" s="31">
        <v>1.65</v>
      </c>
      <c r="U52" s="31">
        <v>0.18</v>
      </c>
      <c r="V52" s="31">
        <v>0.21</v>
      </c>
      <c r="W52" s="31">
        <v>1.5</v>
      </c>
      <c r="X52" s="31">
        <v>0.06</v>
      </c>
    </row>
    <row r="53" spans="2:34" collapsed="1" x14ac:dyDescent="0.3"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</row>
    <row r="54" spans="2:34" s="64" customFormat="1" x14ac:dyDescent="0.3">
      <c r="B54" s="56" t="s">
        <v>223</v>
      </c>
      <c r="C54" s="3"/>
      <c r="D54" s="57"/>
      <c r="E54" s="57"/>
      <c r="F54" s="57"/>
      <c r="G54" s="57"/>
      <c r="H54" s="57"/>
      <c r="I54" s="57"/>
      <c r="J54" s="57"/>
      <c r="K54" s="3"/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AH54" s="227"/>
    </row>
    <row r="55" spans="2:34" hidden="1" outlineLevel="1" x14ac:dyDescent="0.3">
      <c r="B55" s="213" t="s">
        <v>225</v>
      </c>
      <c r="L55" s="192">
        <v>252798</v>
      </c>
      <c r="M55" s="192">
        <v>616183</v>
      </c>
      <c r="N55" s="192">
        <v>55801</v>
      </c>
      <c r="O55" s="192">
        <v>39568</v>
      </c>
      <c r="P55" s="192">
        <v>48312</v>
      </c>
      <c r="Q55" s="192">
        <v>66080</v>
      </c>
      <c r="R55" s="192">
        <v>42306</v>
      </c>
      <c r="S55" s="192">
        <v>71048</v>
      </c>
      <c r="T55" s="192">
        <v>68229</v>
      </c>
      <c r="U55" s="192">
        <v>58782</v>
      </c>
      <c r="V55" s="192">
        <v>67134</v>
      </c>
      <c r="W55" s="192">
        <v>44996</v>
      </c>
      <c r="X55" s="192">
        <v>95448</v>
      </c>
    </row>
    <row r="56" spans="2:34" hidden="1" outlineLevel="1" x14ac:dyDescent="0.3">
      <c r="B56" s="213" t="s">
        <v>334</v>
      </c>
      <c r="L56" s="192">
        <v>287710</v>
      </c>
      <c r="M56" s="192">
        <v>0</v>
      </c>
      <c r="N56" s="192">
        <v>0</v>
      </c>
      <c r="O56" s="192">
        <v>0</v>
      </c>
      <c r="P56" s="192">
        <v>0</v>
      </c>
      <c r="Q56" s="192">
        <v>0</v>
      </c>
      <c r="R56" s="192">
        <v>0</v>
      </c>
      <c r="S56" s="192">
        <v>0</v>
      </c>
      <c r="T56" s="192">
        <v>0</v>
      </c>
      <c r="U56" s="192">
        <v>366965</v>
      </c>
      <c r="V56" s="192">
        <v>339023</v>
      </c>
      <c r="W56" s="192">
        <v>620866</v>
      </c>
      <c r="X56" s="192">
        <v>274434</v>
      </c>
    </row>
    <row r="57" spans="2:34" hidden="1" outlineLevel="1" x14ac:dyDescent="0.3">
      <c r="B57" s="213" t="s">
        <v>618</v>
      </c>
      <c r="L57" s="192">
        <v>11208</v>
      </c>
      <c r="M57" s="192">
        <v>0</v>
      </c>
      <c r="N57" s="192">
        <v>0</v>
      </c>
      <c r="O57" s="192">
        <v>0</v>
      </c>
      <c r="P57" s="192">
        <v>0</v>
      </c>
      <c r="Q57" s="192">
        <v>0</v>
      </c>
      <c r="R57" s="192">
        <v>0</v>
      </c>
      <c r="S57" s="192">
        <v>0</v>
      </c>
      <c r="T57" s="192">
        <v>0</v>
      </c>
      <c r="U57" s="192">
        <v>79395</v>
      </c>
      <c r="V57" s="192">
        <v>82811</v>
      </c>
      <c r="W57" s="192">
        <v>83793</v>
      </c>
      <c r="X57" s="192">
        <v>60682</v>
      </c>
    </row>
    <row r="58" spans="2:34" hidden="1" outlineLevel="1" x14ac:dyDescent="0.3">
      <c r="B58" s="213" t="s">
        <v>336</v>
      </c>
      <c r="L58" s="192">
        <v>276502</v>
      </c>
      <c r="M58" s="192">
        <v>421143</v>
      </c>
      <c r="N58" s="192">
        <v>899029</v>
      </c>
      <c r="O58" s="192">
        <v>464663</v>
      </c>
      <c r="P58" s="192">
        <v>478371</v>
      </c>
      <c r="Q58" s="192">
        <v>819636</v>
      </c>
      <c r="R58" s="192">
        <v>447576</v>
      </c>
      <c r="S58" s="192">
        <v>429146</v>
      </c>
      <c r="T58" s="192">
        <v>601179</v>
      </c>
      <c r="U58" s="192">
        <v>287570</v>
      </c>
      <c r="V58" s="192">
        <v>256212</v>
      </c>
      <c r="W58" s="192">
        <v>537073</v>
      </c>
      <c r="X58" s="192">
        <v>213752</v>
      </c>
    </row>
    <row r="59" spans="2:34" hidden="1" outlineLevel="1" x14ac:dyDescent="0.3">
      <c r="B59" s="213" t="s">
        <v>619</v>
      </c>
      <c r="L59" s="192">
        <v>0</v>
      </c>
      <c r="M59" s="192">
        <v>0</v>
      </c>
      <c r="N59" s="192">
        <v>0</v>
      </c>
      <c r="O59" s="192">
        <v>0</v>
      </c>
      <c r="P59" s="192">
        <v>0</v>
      </c>
      <c r="Q59" s="192">
        <v>0</v>
      </c>
      <c r="R59" s="192">
        <v>0</v>
      </c>
      <c r="S59" s="192">
        <v>0</v>
      </c>
      <c r="T59" s="192">
        <v>0</v>
      </c>
      <c r="U59" s="192">
        <v>654516</v>
      </c>
      <c r="V59" s="192">
        <v>445567</v>
      </c>
      <c r="W59" s="192">
        <v>489352</v>
      </c>
      <c r="X59" s="192">
        <v>405658</v>
      </c>
    </row>
    <row r="60" spans="2:34" hidden="1" outlineLevel="1" x14ac:dyDescent="0.3">
      <c r="B60" s="213" t="s">
        <v>620</v>
      </c>
      <c r="L60" s="192">
        <v>0</v>
      </c>
      <c r="M60" s="192">
        <v>0</v>
      </c>
      <c r="N60" s="192">
        <v>0</v>
      </c>
      <c r="O60" s="192">
        <v>0</v>
      </c>
      <c r="P60" s="192">
        <v>0</v>
      </c>
      <c r="Q60" s="192">
        <v>0</v>
      </c>
      <c r="R60" s="192">
        <v>0</v>
      </c>
      <c r="S60" s="192">
        <v>0</v>
      </c>
      <c r="T60" s="192">
        <v>0</v>
      </c>
      <c r="U60" s="192">
        <v>756</v>
      </c>
      <c r="V60" s="192">
        <v>402</v>
      </c>
      <c r="W60" s="192">
        <v>1203</v>
      </c>
      <c r="X60" s="192">
        <v>1062</v>
      </c>
    </row>
    <row r="61" spans="2:34" hidden="1" outlineLevel="1" x14ac:dyDescent="0.3">
      <c r="B61" s="213" t="s">
        <v>574</v>
      </c>
      <c r="L61" s="192">
        <v>574767</v>
      </c>
      <c r="M61" s="192">
        <v>500410</v>
      </c>
      <c r="N61" s="192">
        <v>650633</v>
      </c>
      <c r="O61" s="192">
        <v>842136</v>
      </c>
      <c r="P61" s="192">
        <v>538955</v>
      </c>
      <c r="Q61" s="192">
        <v>616162</v>
      </c>
      <c r="R61" s="192">
        <v>678571</v>
      </c>
      <c r="S61" s="192">
        <v>463463</v>
      </c>
      <c r="T61" s="192">
        <v>592822</v>
      </c>
      <c r="U61" s="192">
        <v>655272</v>
      </c>
      <c r="V61" s="192">
        <v>445969</v>
      </c>
      <c r="W61" s="192">
        <v>490555</v>
      </c>
      <c r="X61" s="192">
        <v>406720</v>
      </c>
    </row>
    <row r="62" spans="2:34" hidden="1" outlineLevel="1" x14ac:dyDescent="0.3">
      <c r="B62" s="213" t="s">
        <v>621</v>
      </c>
      <c r="L62" s="192">
        <v>13949</v>
      </c>
      <c r="M62" s="192">
        <v>9724</v>
      </c>
      <c r="N62" s="192">
        <v>2942</v>
      </c>
      <c r="O62" s="192">
        <v>12500</v>
      </c>
      <c r="P62" s="192">
        <v>9369</v>
      </c>
      <c r="Q62" s="192">
        <v>0</v>
      </c>
      <c r="R62" s="192">
        <v>6962</v>
      </c>
      <c r="S62" s="192">
        <v>2132</v>
      </c>
      <c r="T62" s="192">
        <v>0</v>
      </c>
      <c r="U62" s="192">
        <v>23338</v>
      </c>
      <c r="V62" s="192">
        <v>16845</v>
      </c>
      <c r="W62" s="192">
        <v>0</v>
      </c>
      <c r="X62" s="192">
        <v>25359</v>
      </c>
    </row>
    <row r="63" spans="2:34" hidden="1" outlineLevel="1" x14ac:dyDescent="0.3">
      <c r="B63" s="213" t="s">
        <v>622</v>
      </c>
      <c r="L63" s="192">
        <v>0</v>
      </c>
      <c r="M63" s="192">
        <v>0</v>
      </c>
      <c r="N63" s="192">
        <v>0</v>
      </c>
      <c r="O63" s="192">
        <v>0</v>
      </c>
      <c r="P63" s="192">
        <v>0</v>
      </c>
      <c r="Q63" s="192">
        <v>0</v>
      </c>
      <c r="R63" s="192">
        <v>0</v>
      </c>
      <c r="S63" s="192">
        <v>0</v>
      </c>
      <c r="T63" s="192">
        <v>0</v>
      </c>
      <c r="U63" s="192">
        <v>0</v>
      </c>
      <c r="V63" s="192">
        <v>0</v>
      </c>
      <c r="W63" s="192">
        <v>17571</v>
      </c>
      <c r="X63" s="192">
        <v>17584</v>
      </c>
    </row>
    <row r="64" spans="2:34" hidden="1" outlineLevel="1" x14ac:dyDescent="0.3">
      <c r="B64" s="213" t="s">
        <v>436</v>
      </c>
      <c r="L64" s="32">
        <v>55709</v>
      </c>
      <c r="M64" s="32">
        <v>66594</v>
      </c>
      <c r="N64" s="32">
        <v>77328</v>
      </c>
      <c r="O64" s="32">
        <v>93353</v>
      </c>
      <c r="P64" s="32">
        <v>96545</v>
      </c>
      <c r="Q64" s="32">
        <v>82933</v>
      </c>
      <c r="R64" s="32">
        <v>100688</v>
      </c>
      <c r="S64" s="32">
        <v>102072</v>
      </c>
      <c r="T64" s="32">
        <v>34841</v>
      </c>
      <c r="U64" s="32">
        <v>58653</v>
      </c>
      <c r="V64" s="32">
        <v>55474</v>
      </c>
      <c r="W64" s="32">
        <v>16326</v>
      </c>
      <c r="X64" s="32">
        <v>26495</v>
      </c>
      <c r="Y64"/>
      <c r="Z64"/>
    </row>
    <row r="65" spans="2:34" s="187" customFormat="1" collapsed="1" x14ac:dyDescent="0.3">
      <c r="B65" s="208" t="s">
        <v>437</v>
      </c>
      <c r="C65" s="185"/>
      <c r="D65" s="204">
        <f t="shared" ref="D65:F65" si="68">D$31 * D18</f>
        <v>1787299.1139993311</v>
      </c>
      <c r="E65" s="204">
        <f t="shared" si="68"/>
        <v>850732.57475995517</v>
      </c>
      <c r="F65" s="204">
        <f t="shared" si="68"/>
        <v>1065649.6614610124</v>
      </c>
      <c r="G65" s="204">
        <f>G$31 * G18</f>
        <v>1659112.3207844752</v>
      </c>
      <c r="H65" s="205"/>
      <c r="I65" s="206"/>
      <c r="J65" s="207"/>
      <c r="K65" s="185"/>
      <c r="L65" s="204">
        <f>L55 + L58 + L61 + L62 + L63 + L64</f>
        <v>1173725</v>
      </c>
      <c r="M65" s="204">
        <f t="shared" ref="M65:X65" si="69">M55 + M58 + M61 + M62 + M63 + M64</f>
        <v>1614054</v>
      </c>
      <c r="N65" s="204">
        <f t="shared" si="69"/>
        <v>1685733</v>
      </c>
      <c r="O65" s="204">
        <f t="shared" si="69"/>
        <v>1452220</v>
      </c>
      <c r="P65" s="204">
        <f t="shared" si="69"/>
        <v>1171552</v>
      </c>
      <c r="Q65" s="204">
        <f t="shared" si="69"/>
        <v>1584811</v>
      </c>
      <c r="R65" s="204">
        <f t="shared" si="69"/>
        <v>1276103</v>
      </c>
      <c r="S65" s="204">
        <f t="shared" si="69"/>
        <v>1067861</v>
      </c>
      <c r="T65" s="204">
        <f t="shared" si="69"/>
        <v>1297071</v>
      </c>
      <c r="U65" s="204">
        <f t="shared" si="69"/>
        <v>1083615</v>
      </c>
      <c r="V65" s="204">
        <f t="shared" si="69"/>
        <v>841634</v>
      </c>
      <c r="W65" s="204">
        <f t="shared" si="69"/>
        <v>1106521</v>
      </c>
      <c r="X65" s="204">
        <f t="shared" si="69"/>
        <v>785358</v>
      </c>
      <c r="Y65" s="204"/>
      <c r="AH65" s="228"/>
    </row>
    <row r="66" spans="2:34" hidden="1" outlineLevel="1" x14ac:dyDescent="0.3">
      <c r="B66" s="213" t="s">
        <v>623</v>
      </c>
      <c r="L66" s="192">
        <v>59132</v>
      </c>
      <c r="M66" s="192">
        <v>58299</v>
      </c>
      <c r="N66" s="192">
        <v>62231</v>
      </c>
      <c r="O66" s="192">
        <v>63773</v>
      </c>
      <c r="P66" s="192">
        <v>63361</v>
      </c>
      <c r="Q66" s="192">
        <v>67874</v>
      </c>
      <c r="R66" s="192">
        <v>59048</v>
      </c>
      <c r="S66" s="192">
        <v>63161</v>
      </c>
      <c r="T66" s="192">
        <v>60642</v>
      </c>
      <c r="U66" s="192">
        <v>0</v>
      </c>
      <c r="V66" s="192">
        <v>60002</v>
      </c>
      <c r="W66" s="192">
        <v>61456</v>
      </c>
      <c r="X66" s="192">
        <v>61464</v>
      </c>
    </row>
    <row r="67" spans="2:34" hidden="1" outlineLevel="1" x14ac:dyDescent="0.3">
      <c r="B67" s="213" t="s">
        <v>624</v>
      </c>
      <c r="L67" s="192">
        <v>0</v>
      </c>
      <c r="M67" s="192">
        <v>0</v>
      </c>
      <c r="N67" s="192">
        <v>0</v>
      </c>
      <c r="O67" s="192">
        <v>0</v>
      </c>
      <c r="P67" s="192">
        <v>0</v>
      </c>
      <c r="Q67" s="192">
        <v>0</v>
      </c>
      <c r="R67" s="192">
        <v>0</v>
      </c>
      <c r="S67" s="192">
        <v>0</v>
      </c>
      <c r="T67" s="192">
        <v>0</v>
      </c>
      <c r="U67" s="192">
        <v>60015</v>
      </c>
      <c r="V67" s="192">
        <v>0</v>
      </c>
      <c r="W67" s="192">
        <v>0</v>
      </c>
      <c r="X67" s="192">
        <v>0</v>
      </c>
    </row>
    <row r="68" spans="2:34" hidden="1" outlineLevel="1" x14ac:dyDescent="0.3">
      <c r="B68" s="213" t="s">
        <v>532</v>
      </c>
      <c r="L68" s="192">
        <v>66627</v>
      </c>
      <c r="M68" s="192">
        <v>72918</v>
      </c>
      <c r="N68" s="192">
        <v>90830</v>
      </c>
      <c r="O68" s="192">
        <v>85548</v>
      </c>
      <c r="P68" s="192">
        <v>89848</v>
      </c>
      <c r="Q68" s="192">
        <v>89658</v>
      </c>
      <c r="R68" s="192">
        <v>92133</v>
      </c>
      <c r="S68" s="192">
        <v>95269</v>
      </c>
      <c r="T68" s="192">
        <v>98522</v>
      </c>
      <c r="U68" s="192">
        <v>95074</v>
      </c>
      <c r="V68" s="192">
        <v>100102</v>
      </c>
      <c r="W68" s="192">
        <v>101579</v>
      </c>
      <c r="X68" s="192">
        <v>103715</v>
      </c>
    </row>
    <row r="69" spans="2:34" hidden="1" outlineLevel="1" x14ac:dyDescent="0.3">
      <c r="B69" s="213" t="s">
        <v>533</v>
      </c>
      <c r="L69" s="192">
        <v>168071</v>
      </c>
      <c r="M69" s="192">
        <v>251565</v>
      </c>
      <c r="N69" s="192">
        <v>293819</v>
      </c>
      <c r="O69" s="192">
        <v>309421</v>
      </c>
      <c r="P69" s="192">
        <v>320169</v>
      </c>
      <c r="Q69" s="192">
        <v>0</v>
      </c>
      <c r="R69" s="192">
        <v>0</v>
      </c>
      <c r="S69" s="192">
        <v>0</v>
      </c>
      <c r="T69" s="192">
        <v>0</v>
      </c>
      <c r="U69" s="192">
        <v>0</v>
      </c>
      <c r="V69" s="192">
        <v>0</v>
      </c>
      <c r="W69" s="192">
        <v>0</v>
      </c>
      <c r="X69" s="192">
        <v>0</v>
      </c>
    </row>
    <row r="70" spans="2:34" hidden="1" outlineLevel="1" x14ac:dyDescent="0.3">
      <c r="B70" s="213" t="s">
        <v>625</v>
      </c>
      <c r="L70" s="192">
        <v>31900</v>
      </c>
      <c r="M70" s="192">
        <v>32691</v>
      </c>
      <c r="N70" s="192">
        <v>34389</v>
      </c>
      <c r="O70" s="192">
        <v>35681</v>
      </c>
      <c r="P70" s="192">
        <v>35663</v>
      </c>
      <c r="Q70" s="192">
        <v>35109</v>
      </c>
      <c r="R70" s="192">
        <v>34242</v>
      </c>
      <c r="S70" s="192">
        <v>33709</v>
      </c>
      <c r="T70" s="192">
        <v>33883</v>
      </c>
      <c r="U70" s="192">
        <v>35149</v>
      </c>
      <c r="V70" s="192">
        <v>35304</v>
      </c>
      <c r="W70" s="192">
        <v>25244</v>
      </c>
      <c r="X70" s="192">
        <v>25628</v>
      </c>
    </row>
    <row r="71" spans="2:34" hidden="1" outlineLevel="1" x14ac:dyDescent="0.3">
      <c r="B71" s="213" t="s">
        <v>347</v>
      </c>
      <c r="L71" s="192">
        <v>36423</v>
      </c>
      <c r="M71" s="192">
        <v>37321</v>
      </c>
      <c r="N71" s="192">
        <v>39297</v>
      </c>
      <c r="O71" s="192">
        <v>40444</v>
      </c>
      <c r="P71" s="192">
        <v>41486</v>
      </c>
      <c r="Q71" s="192">
        <v>43409</v>
      </c>
      <c r="R71" s="192">
        <v>44193</v>
      </c>
      <c r="S71" s="192">
        <v>45406</v>
      </c>
      <c r="T71" s="192">
        <v>47076</v>
      </c>
      <c r="U71" s="192">
        <v>47774</v>
      </c>
      <c r="V71" s="192">
        <v>47797</v>
      </c>
      <c r="W71" s="192">
        <v>9910</v>
      </c>
      <c r="X71" s="192">
        <v>10738</v>
      </c>
    </row>
    <row r="72" spans="2:34" hidden="1" outlineLevel="1" x14ac:dyDescent="0.3">
      <c r="B72" s="213" t="s">
        <v>626</v>
      </c>
      <c r="L72" s="192">
        <v>34548</v>
      </c>
      <c r="M72" s="192">
        <v>34548</v>
      </c>
      <c r="N72" s="192">
        <v>25135</v>
      </c>
      <c r="O72" s="192">
        <v>25253</v>
      </c>
      <c r="P72" s="192">
        <v>25212</v>
      </c>
      <c r="Q72" s="192">
        <v>28336</v>
      </c>
      <c r="R72" s="192">
        <v>28360</v>
      </c>
      <c r="S72" s="192">
        <v>27982</v>
      </c>
      <c r="T72" s="192">
        <v>16169</v>
      </c>
      <c r="U72" s="192">
        <v>16081</v>
      </c>
      <c r="V72" s="192">
        <v>15901</v>
      </c>
      <c r="W72" s="192">
        <v>0</v>
      </c>
      <c r="X72" s="192">
        <v>0</v>
      </c>
    </row>
    <row r="73" spans="2:34" hidden="1" outlineLevel="1" x14ac:dyDescent="0.3">
      <c r="B73" s="213" t="s">
        <v>627</v>
      </c>
      <c r="L73" s="192">
        <v>438721</v>
      </c>
      <c r="M73" s="192">
        <v>437643</v>
      </c>
      <c r="N73" s="192">
        <v>437247</v>
      </c>
      <c r="O73" s="192">
        <v>439409</v>
      </c>
      <c r="P73" s="192">
        <v>438675</v>
      </c>
      <c r="Q73" s="192">
        <v>440505</v>
      </c>
      <c r="R73" s="192">
        <v>440878</v>
      </c>
      <c r="S73" s="192">
        <v>443900</v>
      </c>
      <c r="T73" s="192">
        <v>441490</v>
      </c>
      <c r="U73" s="192">
        <v>439637</v>
      </c>
      <c r="V73" s="192">
        <v>436147</v>
      </c>
      <c r="W73" s="192">
        <v>68637</v>
      </c>
      <c r="X73" s="192">
        <v>69372</v>
      </c>
    </row>
    <row r="74" spans="2:34" hidden="1" outlineLevel="1" x14ac:dyDescent="0.3">
      <c r="B74" s="213" t="s">
        <v>242</v>
      </c>
      <c r="L74" s="32">
        <v>260667</v>
      </c>
      <c r="M74" s="32">
        <v>259922</v>
      </c>
      <c r="N74" s="32">
        <v>259926</v>
      </c>
      <c r="O74" s="32">
        <v>260687</v>
      </c>
      <c r="P74" s="32">
        <v>260578</v>
      </c>
      <c r="Q74" s="32">
        <v>261366</v>
      </c>
      <c r="R74" s="32">
        <v>261677</v>
      </c>
      <c r="S74" s="32">
        <v>263275</v>
      </c>
      <c r="T74" s="32">
        <v>264200</v>
      </c>
      <c r="U74" s="32">
        <v>264706</v>
      </c>
      <c r="V74" s="32">
        <v>266901</v>
      </c>
      <c r="W74" s="32">
        <v>50094</v>
      </c>
      <c r="X74" s="32">
        <v>50406</v>
      </c>
      <c r="Y74"/>
      <c r="Z74"/>
    </row>
    <row r="75" spans="2:34" s="187" customFormat="1" collapsed="1" x14ac:dyDescent="0.3">
      <c r="B75" s="208" t="s">
        <v>536</v>
      </c>
      <c r="C75" s="185"/>
      <c r="D75" s="204">
        <f t="shared" ref="D75:F75" si="70">D$31 * D19</f>
        <v>1216046.1075697113</v>
      </c>
      <c r="E75" s="204">
        <f t="shared" si="70"/>
        <v>740918.80667449103</v>
      </c>
      <c r="F75" s="204">
        <f t="shared" si="70"/>
        <v>917790.34262711881</v>
      </c>
      <c r="G75" s="204">
        <f>G$31 * G19</f>
        <v>1151605.7689355344</v>
      </c>
      <c r="H75" s="205"/>
      <c r="I75" s="206"/>
      <c r="J75" s="207"/>
      <c r="K75" s="185"/>
      <c r="L75" s="204">
        <f>L76 - L65</f>
        <v>1096089</v>
      </c>
      <c r="M75" s="204">
        <f t="shared" ref="M75:X75" si="71">M76 - M65</f>
        <v>1184907</v>
      </c>
      <c r="N75" s="204">
        <f t="shared" si="71"/>
        <v>1242874</v>
      </c>
      <c r="O75" s="204">
        <f t="shared" si="71"/>
        <v>1260216</v>
      </c>
      <c r="P75" s="204">
        <f t="shared" si="71"/>
        <v>1274992</v>
      </c>
      <c r="Q75" s="204">
        <f t="shared" si="71"/>
        <v>966257</v>
      </c>
      <c r="R75" s="204">
        <f t="shared" si="71"/>
        <v>960531</v>
      </c>
      <c r="S75" s="204">
        <f t="shared" si="71"/>
        <v>972702</v>
      </c>
      <c r="T75" s="204">
        <f t="shared" si="71"/>
        <v>961982</v>
      </c>
      <c r="U75" s="204">
        <f t="shared" si="71"/>
        <v>958436</v>
      </c>
      <c r="V75" s="204">
        <f t="shared" si="71"/>
        <v>962154</v>
      </c>
      <c r="W75" s="204">
        <f t="shared" si="71"/>
        <v>316920</v>
      </c>
      <c r="X75" s="204">
        <f t="shared" si="71"/>
        <v>321323</v>
      </c>
      <c r="Y75" s="204"/>
      <c r="AH75" s="228"/>
    </row>
    <row r="76" spans="2:34" s="39" customFormat="1" x14ac:dyDescent="0.3">
      <c r="B76" s="76" t="s">
        <v>244</v>
      </c>
      <c r="C76" s="25"/>
      <c r="D76" s="77">
        <f t="shared" ref="D76:F76" si="72">D65 + D75</f>
        <v>3003345.2215690427</v>
      </c>
      <c r="E76" s="77">
        <f t="shared" si="72"/>
        <v>1591651.3814344462</v>
      </c>
      <c r="F76" s="77">
        <f t="shared" si="72"/>
        <v>1983440.0040881312</v>
      </c>
      <c r="G76" s="77">
        <f>G65 + G75</f>
        <v>2810718.0897200098</v>
      </c>
      <c r="H76" s="77"/>
      <c r="I76" s="77"/>
      <c r="J76" s="77"/>
      <c r="K76" s="25"/>
      <c r="L76" s="77">
        <v>2269814</v>
      </c>
      <c r="M76" s="77">
        <v>2798961</v>
      </c>
      <c r="N76" s="77">
        <v>2928607</v>
      </c>
      <c r="O76" s="77">
        <v>2712436</v>
      </c>
      <c r="P76" s="77">
        <v>2446544</v>
      </c>
      <c r="Q76" s="77">
        <v>2551068</v>
      </c>
      <c r="R76" s="77">
        <v>2236634</v>
      </c>
      <c r="S76" s="77">
        <v>2040563</v>
      </c>
      <c r="T76" s="77">
        <v>2259053</v>
      </c>
      <c r="U76" s="77">
        <v>2042051</v>
      </c>
      <c r="V76" s="77">
        <v>1803788</v>
      </c>
      <c r="W76" s="77">
        <v>1423441</v>
      </c>
      <c r="X76" s="77">
        <v>1106681</v>
      </c>
      <c r="Y76"/>
      <c r="Z76"/>
      <c r="AH76" s="226"/>
    </row>
    <row r="77" spans="2:34" s="39" customFormat="1" ht="6.9" customHeight="1" x14ac:dyDescent="0.3">
      <c r="B77" s="78"/>
      <c r="C77" s="25"/>
      <c r="D77" s="79"/>
      <c r="E77" s="79"/>
      <c r="F77" s="79"/>
      <c r="G77" s="79"/>
      <c r="H77" s="79"/>
      <c r="I77" s="79"/>
      <c r="J77" s="79"/>
      <c r="K77" s="25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/>
      <c r="Z77"/>
      <c r="AH77" s="226"/>
    </row>
    <row r="78" spans="2:34" x14ac:dyDescent="0.3">
      <c r="B78" s="213" t="s">
        <v>628</v>
      </c>
      <c r="L78" s="192">
        <v>0</v>
      </c>
      <c r="M78" s="192">
        <v>0</v>
      </c>
      <c r="N78" s="192">
        <v>0</v>
      </c>
      <c r="O78" s="192">
        <v>0</v>
      </c>
      <c r="P78" s="192">
        <v>0</v>
      </c>
      <c r="Q78" s="192">
        <v>0</v>
      </c>
      <c r="R78" s="192">
        <v>0</v>
      </c>
      <c r="S78" s="192">
        <v>0</v>
      </c>
      <c r="T78" s="192">
        <v>0</v>
      </c>
      <c r="U78" s="192">
        <v>0</v>
      </c>
      <c r="V78" s="192">
        <v>0</v>
      </c>
      <c r="W78" s="192">
        <v>91334</v>
      </c>
      <c r="X78" s="192">
        <v>0</v>
      </c>
    </row>
    <row r="79" spans="2:34" hidden="1" outlineLevel="1" x14ac:dyDescent="0.3">
      <c r="B79" s="213" t="s">
        <v>629</v>
      </c>
      <c r="L79" s="192">
        <v>9075</v>
      </c>
      <c r="M79" s="192">
        <v>9115</v>
      </c>
      <c r="N79" s="192">
        <v>32029</v>
      </c>
      <c r="O79" s="192">
        <v>6966</v>
      </c>
      <c r="P79" s="192">
        <v>3588</v>
      </c>
      <c r="Q79" s="192">
        <v>25194</v>
      </c>
      <c r="R79" s="192">
        <v>0</v>
      </c>
      <c r="S79" s="192">
        <v>0</v>
      </c>
      <c r="T79" s="192">
        <v>22949</v>
      </c>
      <c r="U79" s="192">
        <v>0</v>
      </c>
      <c r="V79" s="192">
        <v>0</v>
      </c>
      <c r="W79" s="192">
        <v>25184</v>
      </c>
      <c r="X79" s="192">
        <v>0</v>
      </c>
    </row>
    <row r="80" spans="2:34" hidden="1" outlineLevel="1" x14ac:dyDescent="0.3">
      <c r="B80" s="213" t="s">
        <v>246</v>
      </c>
      <c r="L80" s="192">
        <v>192192</v>
      </c>
      <c r="M80" s="192">
        <v>114750</v>
      </c>
      <c r="N80" s="192">
        <v>215217</v>
      </c>
      <c r="O80" s="192">
        <v>346642</v>
      </c>
      <c r="P80" s="192">
        <v>172806</v>
      </c>
      <c r="Q80" s="192">
        <v>224826</v>
      </c>
      <c r="R80" s="192">
        <v>301427</v>
      </c>
      <c r="S80" s="192">
        <v>152854</v>
      </c>
      <c r="T80" s="192">
        <v>216860</v>
      </c>
      <c r="U80" s="192">
        <v>312191</v>
      </c>
      <c r="V80" s="192">
        <v>164521</v>
      </c>
      <c r="W80" s="192">
        <v>181653</v>
      </c>
      <c r="X80" s="192">
        <v>100215</v>
      </c>
    </row>
    <row r="81" spans="2:34" hidden="1" outlineLevel="1" x14ac:dyDescent="0.3">
      <c r="B81" s="213" t="s">
        <v>545</v>
      </c>
      <c r="L81" s="192">
        <v>60257</v>
      </c>
      <c r="M81" s="192">
        <v>60523</v>
      </c>
      <c r="N81" s="192">
        <v>137402</v>
      </c>
      <c r="O81" s="192">
        <v>89137</v>
      </c>
      <c r="P81" s="192">
        <v>78619</v>
      </c>
      <c r="Q81" s="192">
        <v>137878</v>
      </c>
      <c r="R81" s="192">
        <v>95464</v>
      </c>
      <c r="S81" s="192">
        <v>86058</v>
      </c>
      <c r="T81" s="192">
        <v>128891</v>
      </c>
      <c r="U81" s="192">
        <v>82387</v>
      </c>
      <c r="V81" s="192">
        <v>75197</v>
      </c>
      <c r="W81" s="192">
        <v>103844</v>
      </c>
      <c r="X81" s="192">
        <v>51633</v>
      </c>
    </row>
    <row r="82" spans="2:34" hidden="1" outlineLevel="1" x14ac:dyDescent="0.3">
      <c r="B82" s="213" t="s">
        <v>630</v>
      </c>
      <c r="L82" s="192">
        <v>115370</v>
      </c>
      <c r="M82" s="192">
        <v>157886</v>
      </c>
      <c r="N82" s="192">
        <v>260040</v>
      </c>
      <c r="O82" s="192">
        <v>179078</v>
      </c>
      <c r="P82" s="192">
        <v>210310</v>
      </c>
      <c r="Q82" s="192">
        <v>235400</v>
      </c>
      <c r="R82" s="192">
        <v>204360</v>
      </c>
      <c r="S82" s="192">
        <v>214693</v>
      </c>
      <c r="T82" s="192">
        <v>0</v>
      </c>
      <c r="U82" s="192">
        <v>0</v>
      </c>
      <c r="V82" s="192">
        <v>0</v>
      </c>
      <c r="W82" s="192">
        <v>0</v>
      </c>
      <c r="X82" s="192">
        <v>0</v>
      </c>
    </row>
    <row r="83" spans="2:34" hidden="1" outlineLevel="1" x14ac:dyDescent="0.3">
      <c r="B83" s="213" t="s">
        <v>543</v>
      </c>
      <c r="L83" s="192">
        <v>91700</v>
      </c>
      <c r="M83" s="192">
        <v>63632</v>
      </c>
      <c r="N83" s="192">
        <v>66850</v>
      </c>
      <c r="O83" s="192">
        <v>74297</v>
      </c>
      <c r="P83" s="192">
        <v>74761</v>
      </c>
      <c r="Q83" s="192">
        <v>0</v>
      </c>
      <c r="R83" s="192">
        <v>0</v>
      </c>
      <c r="S83" s="192">
        <v>0</v>
      </c>
      <c r="T83" s="192">
        <v>0</v>
      </c>
      <c r="U83" s="192">
        <v>0</v>
      </c>
      <c r="V83" s="192">
        <v>0</v>
      </c>
      <c r="W83" s="192">
        <v>0</v>
      </c>
      <c r="X83" s="192">
        <v>0</v>
      </c>
    </row>
    <row r="84" spans="2:34" hidden="1" outlineLevel="1" x14ac:dyDescent="0.3">
      <c r="B84" s="213" t="s">
        <v>631</v>
      </c>
      <c r="L84" s="192">
        <v>3717</v>
      </c>
      <c r="M84" s="192">
        <v>512</v>
      </c>
      <c r="N84" s="192">
        <v>655</v>
      </c>
      <c r="O84" s="192">
        <v>683</v>
      </c>
      <c r="P84" s="192">
        <v>0</v>
      </c>
      <c r="Q84" s="192">
        <v>0</v>
      </c>
      <c r="R84" s="192">
        <v>0</v>
      </c>
      <c r="S84" s="192">
        <v>0</v>
      </c>
      <c r="T84" s="192">
        <v>0</v>
      </c>
      <c r="U84" s="192">
        <v>0</v>
      </c>
      <c r="V84" s="192">
        <v>0</v>
      </c>
      <c r="W84" s="192">
        <v>0</v>
      </c>
      <c r="X84" s="192">
        <v>0</v>
      </c>
    </row>
    <row r="85" spans="2:34" hidden="1" outlineLevel="1" x14ac:dyDescent="0.3">
      <c r="B85" s="213" t="s">
        <v>632</v>
      </c>
      <c r="L85" s="32">
        <v>109</v>
      </c>
      <c r="M85" s="32">
        <v>116</v>
      </c>
      <c r="N85" s="32">
        <v>1056</v>
      </c>
      <c r="O85" s="32">
        <v>425</v>
      </c>
      <c r="P85" s="32">
        <v>147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/>
      <c r="Z85"/>
    </row>
    <row r="86" spans="2:34" s="187" customFormat="1" collapsed="1" x14ac:dyDescent="0.3">
      <c r="B86" s="208" t="s">
        <v>441</v>
      </c>
      <c r="C86" s="185"/>
      <c r="D86" s="204">
        <f t="shared" ref="D86:F86" si="73">D$31 * D20</f>
        <v>708396.54708501673</v>
      </c>
      <c r="E86" s="204">
        <f t="shared" si="73"/>
        <v>374942.98593658436</v>
      </c>
      <c r="F86" s="204">
        <f t="shared" si="73"/>
        <v>365254.57166057703</v>
      </c>
      <c r="G86" s="204">
        <f>G$31 * G20</f>
        <v>615924.78269299434</v>
      </c>
      <c r="H86" s="205"/>
      <c r="I86" s="206"/>
      <c r="J86" s="207"/>
      <c r="K86" s="185"/>
      <c r="L86" s="204">
        <f>SUM(L78:L85)</f>
        <v>472420</v>
      </c>
      <c r="M86" s="204">
        <f t="shared" ref="M86:X86" si="74">SUM(M78:M85)</f>
        <v>406534</v>
      </c>
      <c r="N86" s="204">
        <f t="shared" si="74"/>
        <v>713249</v>
      </c>
      <c r="O86" s="204">
        <f t="shared" si="74"/>
        <v>697228</v>
      </c>
      <c r="P86" s="204">
        <f t="shared" si="74"/>
        <v>540231</v>
      </c>
      <c r="Q86" s="204">
        <f t="shared" si="74"/>
        <v>623298</v>
      </c>
      <c r="R86" s="204">
        <f t="shared" si="74"/>
        <v>601251</v>
      </c>
      <c r="S86" s="204">
        <f t="shared" si="74"/>
        <v>453605</v>
      </c>
      <c r="T86" s="204">
        <f t="shared" si="74"/>
        <v>368700</v>
      </c>
      <c r="U86" s="204">
        <f t="shared" si="74"/>
        <v>394578</v>
      </c>
      <c r="V86" s="204">
        <f t="shared" si="74"/>
        <v>239718</v>
      </c>
      <c r="W86" s="204">
        <f t="shared" si="74"/>
        <v>402015</v>
      </c>
      <c r="X86" s="204">
        <f t="shared" si="74"/>
        <v>151848</v>
      </c>
      <c r="Y86" s="204"/>
      <c r="AH86" s="228"/>
    </row>
    <row r="87" spans="2:34" hidden="1" outlineLevel="1" x14ac:dyDescent="0.3">
      <c r="B87" s="213" t="s">
        <v>628</v>
      </c>
      <c r="L87" s="192">
        <v>0</v>
      </c>
      <c r="M87" s="192">
        <v>0</v>
      </c>
      <c r="N87" s="192">
        <v>0</v>
      </c>
      <c r="O87" s="192">
        <v>0</v>
      </c>
      <c r="P87" s="192">
        <v>0</v>
      </c>
      <c r="Q87" s="192">
        <v>0</v>
      </c>
      <c r="R87" s="192">
        <v>0</v>
      </c>
      <c r="S87" s="192">
        <v>0</v>
      </c>
      <c r="T87" s="192">
        <v>0</v>
      </c>
      <c r="U87" s="192">
        <v>568834</v>
      </c>
      <c r="V87" s="192">
        <v>492796</v>
      </c>
      <c r="W87" s="192">
        <v>0</v>
      </c>
      <c r="X87" s="192">
        <v>0</v>
      </c>
    </row>
    <row r="88" spans="2:34" hidden="1" outlineLevel="1" x14ac:dyDescent="0.3">
      <c r="B88" s="213" t="s">
        <v>633</v>
      </c>
      <c r="L88" s="192">
        <v>300000</v>
      </c>
      <c r="M88" s="192">
        <v>300000</v>
      </c>
      <c r="N88" s="192">
        <v>300000</v>
      </c>
      <c r="O88" s="192">
        <v>300000</v>
      </c>
      <c r="P88" s="192">
        <v>300000</v>
      </c>
      <c r="Q88" s="192">
        <v>300000</v>
      </c>
      <c r="R88" s="192">
        <v>300000</v>
      </c>
      <c r="S88" s="192">
        <v>300000</v>
      </c>
      <c r="T88" s="192">
        <v>349648</v>
      </c>
      <c r="U88" s="192">
        <v>0</v>
      </c>
      <c r="V88" s="192">
        <v>0</v>
      </c>
      <c r="W88" s="192">
        <v>0</v>
      </c>
      <c r="X88" s="192">
        <v>0</v>
      </c>
    </row>
    <row r="89" spans="2:34" hidden="1" outlineLevel="1" x14ac:dyDescent="0.3">
      <c r="B89" s="213" t="s">
        <v>634</v>
      </c>
      <c r="L89" s="192">
        <v>0</v>
      </c>
      <c r="M89" s="192">
        <v>0</v>
      </c>
      <c r="N89" s="192">
        <v>0</v>
      </c>
      <c r="O89" s="192">
        <v>0</v>
      </c>
      <c r="P89" s="192">
        <v>0</v>
      </c>
      <c r="Q89" s="192">
        <v>0</v>
      </c>
      <c r="R89" s="192">
        <v>0</v>
      </c>
      <c r="S89" s="192">
        <v>0</v>
      </c>
      <c r="T89" s="192">
        <v>300000</v>
      </c>
      <c r="U89" s="192">
        <v>0</v>
      </c>
      <c r="V89" s="192">
        <v>0</v>
      </c>
      <c r="W89" s="192">
        <v>0</v>
      </c>
      <c r="X89" s="192">
        <v>0</v>
      </c>
    </row>
    <row r="90" spans="2:34" hidden="1" outlineLevel="1" x14ac:dyDescent="0.3">
      <c r="B90" s="213" t="s">
        <v>635</v>
      </c>
      <c r="L90" s="192">
        <v>0</v>
      </c>
      <c r="M90" s="192">
        <v>500000</v>
      </c>
      <c r="N90" s="192">
        <v>279880</v>
      </c>
      <c r="O90" s="192">
        <v>160000</v>
      </c>
      <c r="P90" s="192">
        <v>22509</v>
      </c>
      <c r="Q90" s="192">
        <v>309599</v>
      </c>
      <c r="R90" s="192">
        <v>111426</v>
      </c>
      <c r="S90" s="192">
        <v>67377</v>
      </c>
      <c r="T90" s="192">
        <v>0</v>
      </c>
      <c r="U90" s="192">
        <v>0</v>
      </c>
      <c r="V90" s="192">
        <v>0</v>
      </c>
      <c r="W90" s="192">
        <v>0</v>
      </c>
      <c r="X90" s="192">
        <v>0</v>
      </c>
    </row>
    <row r="91" spans="2:34" hidden="1" outlineLevel="1" x14ac:dyDescent="0.3">
      <c r="B91" s="213" t="s">
        <v>636</v>
      </c>
      <c r="L91" s="192">
        <v>125000</v>
      </c>
      <c r="M91" s="192">
        <v>125000</v>
      </c>
      <c r="N91" s="192">
        <v>125000</v>
      </c>
      <c r="O91" s="192">
        <v>125000</v>
      </c>
      <c r="P91" s="192">
        <v>125000</v>
      </c>
      <c r="Q91" s="192">
        <v>125000</v>
      </c>
      <c r="R91" s="192">
        <v>125000</v>
      </c>
      <c r="S91" s="192">
        <v>125000</v>
      </c>
      <c r="T91" s="192">
        <v>125000</v>
      </c>
      <c r="U91" s="192">
        <v>0</v>
      </c>
      <c r="V91" s="192">
        <v>0</v>
      </c>
      <c r="W91" s="192">
        <v>0</v>
      </c>
      <c r="X91" s="192">
        <v>0</v>
      </c>
    </row>
    <row r="92" spans="2:34" hidden="1" outlineLevel="1" x14ac:dyDescent="0.3">
      <c r="B92" s="213" t="s">
        <v>637</v>
      </c>
      <c r="L92" s="192">
        <v>6401</v>
      </c>
      <c r="M92" s="192">
        <v>4504</v>
      </c>
      <c r="N92" s="192">
        <v>2948</v>
      </c>
      <c r="O92" s="192">
        <v>3243</v>
      </c>
      <c r="P92" s="192">
        <v>0</v>
      </c>
      <c r="Q92" s="192">
        <v>0</v>
      </c>
      <c r="R92" s="192">
        <v>0</v>
      </c>
      <c r="S92" s="192">
        <v>0</v>
      </c>
      <c r="T92" s="192">
        <v>0</v>
      </c>
      <c r="U92" s="192">
        <v>0</v>
      </c>
      <c r="V92" s="192">
        <v>0</v>
      </c>
      <c r="W92" s="192">
        <v>0</v>
      </c>
      <c r="X92" s="192">
        <v>0</v>
      </c>
    </row>
    <row r="93" spans="2:34" hidden="1" outlineLevel="1" x14ac:dyDescent="0.3">
      <c r="B93" s="213" t="s">
        <v>638</v>
      </c>
      <c r="L93" s="192">
        <v>3530</v>
      </c>
      <c r="M93" s="192">
        <v>0</v>
      </c>
      <c r="N93" s="192">
        <v>0</v>
      </c>
      <c r="O93" s="192">
        <v>0</v>
      </c>
      <c r="P93" s="192">
        <v>0</v>
      </c>
      <c r="Q93" s="192">
        <v>0</v>
      </c>
      <c r="R93" s="192">
        <v>0</v>
      </c>
      <c r="S93" s="192">
        <v>0</v>
      </c>
      <c r="T93" s="192">
        <v>0</v>
      </c>
      <c r="U93" s="192">
        <v>0</v>
      </c>
      <c r="V93" s="192">
        <v>0</v>
      </c>
      <c r="W93" s="192">
        <v>0</v>
      </c>
      <c r="X93" s="192">
        <v>0</v>
      </c>
    </row>
    <row r="94" spans="2:34" hidden="1" outlineLevel="1" x14ac:dyDescent="0.3">
      <c r="B94" s="213" t="s">
        <v>639</v>
      </c>
      <c r="D94" s="32">
        <f t="shared" ref="D94:G94" si="75">AVERAGE($L94:$O94)</f>
        <v>665126.5</v>
      </c>
      <c r="E94" s="32">
        <f t="shared" si="75"/>
        <v>665126.5</v>
      </c>
      <c r="F94" s="32">
        <f t="shared" si="75"/>
        <v>665126.5</v>
      </c>
      <c r="G94" s="32">
        <f t="shared" si="75"/>
        <v>665126.5</v>
      </c>
      <c r="L94" s="192">
        <v>434931</v>
      </c>
      <c r="M94" s="192">
        <v>929504</v>
      </c>
      <c r="N94" s="192">
        <v>707828</v>
      </c>
      <c r="O94" s="192">
        <v>588243</v>
      </c>
      <c r="P94" s="192">
        <v>447509</v>
      </c>
      <c r="Q94" s="192">
        <v>734599</v>
      </c>
      <c r="R94" s="192">
        <v>536426</v>
      </c>
      <c r="S94" s="192">
        <v>492377</v>
      </c>
      <c r="T94" s="192">
        <v>774648</v>
      </c>
      <c r="U94" s="192">
        <v>0</v>
      </c>
      <c r="V94" s="192">
        <v>0</v>
      </c>
      <c r="W94" s="192">
        <v>0</v>
      </c>
      <c r="X94" s="192">
        <v>0</v>
      </c>
    </row>
    <row r="95" spans="2:34" hidden="1" outlineLevel="1" x14ac:dyDescent="0.3">
      <c r="B95" s="213" t="s">
        <v>640</v>
      </c>
      <c r="L95" s="192">
        <v>0</v>
      </c>
      <c r="M95" s="192">
        <v>0</v>
      </c>
      <c r="N95" s="192">
        <v>0</v>
      </c>
      <c r="O95" s="192">
        <v>0</v>
      </c>
      <c r="P95" s="192">
        <v>0</v>
      </c>
      <c r="Q95" s="192">
        <v>0</v>
      </c>
      <c r="R95" s="192">
        <v>0</v>
      </c>
      <c r="S95" s="192">
        <v>0</v>
      </c>
      <c r="T95" s="192">
        <v>-48040</v>
      </c>
      <c r="U95" s="192">
        <v>0</v>
      </c>
      <c r="V95" s="192">
        <v>0</v>
      </c>
      <c r="W95" s="192">
        <v>0</v>
      </c>
      <c r="X95" s="192">
        <v>0</v>
      </c>
    </row>
    <row r="96" spans="2:34" hidden="1" outlineLevel="1" x14ac:dyDescent="0.3">
      <c r="B96" s="213" t="s">
        <v>641</v>
      </c>
      <c r="L96" s="192">
        <v>-6095</v>
      </c>
      <c r="M96" s="192">
        <v>-6748</v>
      </c>
      <c r="N96" s="192">
        <v>-8055</v>
      </c>
      <c r="O96" s="192">
        <v>-8708</v>
      </c>
      <c r="P96" s="192">
        <v>-9360</v>
      </c>
      <c r="Q96" s="192">
        <v>-10667</v>
      </c>
      <c r="R96" s="192">
        <v>-11320</v>
      </c>
      <c r="S96" s="192">
        <v>-11974</v>
      </c>
      <c r="T96" s="192">
        <v>0</v>
      </c>
      <c r="U96" s="192">
        <v>0</v>
      </c>
      <c r="V96" s="192">
        <v>0</v>
      </c>
      <c r="W96" s="192">
        <v>0</v>
      </c>
      <c r="X96" s="192">
        <v>0</v>
      </c>
    </row>
    <row r="97" spans="2:34" hidden="1" outlineLevel="1" x14ac:dyDescent="0.3">
      <c r="B97" s="213" t="s">
        <v>642</v>
      </c>
      <c r="L97" s="192">
        <v>-20116</v>
      </c>
      <c r="M97" s="192">
        <v>-21562</v>
      </c>
      <c r="N97" s="192">
        <v>-24377</v>
      </c>
      <c r="O97" s="192">
        <v>-25734</v>
      </c>
      <c r="P97" s="192">
        <v>-27062</v>
      </c>
      <c r="Q97" s="192">
        <v>-29655</v>
      </c>
      <c r="R97" s="192">
        <v>-30900</v>
      </c>
      <c r="S97" s="192">
        <v>-32140</v>
      </c>
      <c r="T97" s="192">
        <v>0</v>
      </c>
      <c r="U97" s="192">
        <v>0</v>
      </c>
      <c r="V97" s="192">
        <v>0</v>
      </c>
      <c r="W97" s="192">
        <v>0</v>
      </c>
      <c r="X97" s="192">
        <v>0</v>
      </c>
    </row>
    <row r="98" spans="2:34" hidden="1" outlineLevel="1" x14ac:dyDescent="0.3">
      <c r="B98" s="213" t="s">
        <v>643</v>
      </c>
      <c r="L98" s="192">
        <v>3717</v>
      </c>
      <c r="M98" s="192">
        <v>512</v>
      </c>
      <c r="N98" s="192">
        <v>655</v>
      </c>
      <c r="O98" s="192">
        <v>683</v>
      </c>
      <c r="P98" s="192">
        <v>0</v>
      </c>
      <c r="Q98" s="192">
        <v>0</v>
      </c>
      <c r="R98" s="192">
        <v>0</v>
      </c>
      <c r="S98" s="192">
        <v>0</v>
      </c>
      <c r="T98" s="192">
        <v>0</v>
      </c>
      <c r="U98" s="192">
        <v>0</v>
      </c>
      <c r="V98" s="192">
        <v>0</v>
      </c>
      <c r="W98" s="192">
        <v>0</v>
      </c>
      <c r="X98" s="192">
        <v>0</v>
      </c>
    </row>
    <row r="99" spans="2:34" hidden="1" outlineLevel="1" x14ac:dyDescent="0.3">
      <c r="B99" s="213" t="s">
        <v>644</v>
      </c>
      <c r="L99" s="192">
        <v>405003</v>
      </c>
      <c r="M99" s="192">
        <v>900682</v>
      </c>
      <c r="N99" s="192">
        <v>674741</v>
      </c>
      <c r="O99" s="192">
        <v>553118</v>
      </c>
      <c r="P99" s="192">
        <v>411087</v>
      </c>
      <c r="Q99" s="192">
        <v>694277</v>
      </c>
      <c r="R99" s="192">
        <v>494206</v>
      </c>
      <c r="S99" s="192">
        <v>448263</v>
      </c>
      <c r="T99" s="192">
        <v>726608</v>
      </c>
      <c r="U99" s="192">
        <v>0</v>
      </c>
      <c r="V99" s="192">
        <v>0</v>
      </c>
      <c r="W99" s="192">
        <v>0</v>
      </c>
      <c r="X99" s="192">
        <v>0</v>
      </c>
    </row>
    <row r="100" spans="2:34" hidden="1" outlineLevel="1" x14ac:dyDescent="0.3">
      <c r="B100" s="213" t="s">
        <v>645</v>
      </c>
      <c r="L100" s="192">
        <v>7960</v>
      </c>
      <c r="M100" s="192">
        <v>7797</v>
      </c>
      <c r="N100" s="192">
        <v>14300</v>
      </c>
      <c r="O100" s="192">
        <v>15019</v>
      </c>
      <c r="P100" s="192">
        <v>14777</v>
      </c>
      <c r="Q100" s="192">
        <v>15276</v>
      </c>
      <c r="R100" s="192">
        <v>15393</v>
      </c>
      <c r="S100" s="192">
        <v>16388</v>
      </c>
      <c r="T100" s="192">
        <v>16325</v>
      </c>
      <c r="U100" s="192">
        <v>15721</v>
      </c>
      <c r="V100" s="192">
        <v>14536</v>
      </c>
      <c r="W100" s="192">
        <v>21575</v>
      </c>
      <c r="X100" s="192">
        <v>25186</v>
      </c>
    </row>
    <row r="101" spans="2:34" hidden="1" outlineLevel="1" x14ac:dyDescent="0.3">
      <c r="B101" s="213" t="s">
        <v>646</v>
      </c>
      <c r="L101" s="192">
        <v>140283</v>
      </c>
      <c r="M101" s="192">
        <v>231323</v>
      </c>
      <c r="N101" s="192">
        <v>260010</v>
      </c>
      <c r="O101" s="192">
        <v>272632</v>
      </c>
      <c r="P101" s="192">
        <v>286663</v>
      </c>
      <c r="Q101" s="192">
        <v>0</v>
      </c>
      <c r="R101" s="192">
        <v>0</v>
      </c>
      <c r="S101" s="192">
        <v>0</v>
      </c>
      <c r="T101" s="192">
        <v>0</v>
      </c>
      <c r="U101" s="192">
        <v>0</v>
      </c>
      <c r="V101" s="192">
        <v>0</v>
      </c>
      <c r="W101" s="192">
        <v>0</v>
      </c>
      <c r="X101" s="192">
        <v>0</v>
      </c>
    </row>
    <row r="102" spans="2:34" hidden="1" outlineLevel="1" x14ac:dyDescent="0.3">
      <c r="B102" s="213" t="s">
        <v>647</v>
      </c>
      <c r="L102" s="32">
        <v>6399</v>
      </c>
      <c r="M102" s="32">
        <v>6391</v>
      </c>
      <c r="N102" s="32">
        <v>6005</v>
      </c>
      <c r="O102" s="32">
        <v>6619</v>
      </c>
      <c r="P102" s="32">
        <v>6960</v>
      </c>
      <c r="Q102" s="32">
        <v>37262</v>
      </c>
      <c r="R102" s="32">
        <v>38567</v>
      </c>
      <c r="S102" s="32">
        <v>39383</v>
      </c>
      <c r="T102" s="32">
        <v>40488</v>
      </c>
      <c r="U102" s="32">
        <v>41884</v>
      </c>
      <c r="V102" s="32">
        <v>40678</v>
      </c>
      <c r="W102" s="32">
        <v>29949</v>
      </c>
      <c r="X102" s="32">
        <v>27996</v>
      </c>
      <c r="Y102"/>
      <c r="Z102"/>
    </row>
    <row r="103" spans="2:34" s="187" customFormat="1" collapsed="1" x14ac:dyDescent="0.3">
      <c r="B103" s="208" t="s">
        <v>563</v>
      </c>
      <c r="C103" s="185"/>
      <c r="D103" s="204">
        <f t="shared" ref="D103:F103" si="76">D76 - (D86 + D111)</f>
        <v>896982.24405626534</v>
      </c>
      <c r="E103" s="204">
        <f t="shared" si="76"/>
        <v>-71980.680398661178</v>
      </c>
      <c r="F103" s="204">
        <f t="shared" si="76"/>
        <v>312596.73222462134</v>
      </c>
      <c r="G103" s="204">
        <f>G76 - (G86 + G111)</f>
        <v>866030.55223804712</v>
      </c>
      <c r="H103" s="205"/>
      <c r="I103" s="206"/>
      <c r="J103" s="207"/>
      <c r="K103" s="185"/>
      <c r="L103" s="204">
        <f>L104 - L86</f>
        <v>559645</v>
      </c>
      <c r="M103" s="204">
        <f t="shared" ref="M103:X103" si="77">M104 - M86</f>
        <v>1146193</v>
      </c>
      <c r="N103" s="204">
        <f t="shared" si="77"/>
        <v>955056</v>
      </c>
      <c r="O103" s="204">
        <f t="shared" si="77"/>
        <v>847388</v>
      </c>
      <c r="P103" s="204">
        <f t="shared" si="77"/>
        <v>719487</v>
      </c>
      <c r="Q103" s="204">
        <f t="shared" si="77"/>
        <v>746815</v>
      </c>
      <c r="R103" s="204">
        <f t="shared" si="77"/>
        <v>548166</v>
      </c>
      <c r="S103" s="204">
        <f t="shared" si="77"/>
        <v>504034</v>
      </c>
      <c r="T103" s="204">
        <f t="shared" si="77"/>
        <v>783421</v>
      </c>
      <c r="U103" s="204">
        <f t="shared" si="77"/>
        <v>626439</v>
      </c>
      <c r="V103" s="204">
        <f t="shared" si="77"/>
        <v>548010</v>
      </c>
      <c r="W103" s="204">
        <f t="shared" si="77"/>
        <v>51524</v>
      </c>
      <c r="X103" s="204">
        <f t="shared" si="77"/>
        <v>53182</v>
      </c>
      <c r="Y103" s="204"/>
      <c r="AH103" s="228"/>
    </row>
    <row r="104" spans="2:34" s="39" customFormat="1" x14ac:dyDescent="0.3">
      <c r="B104" s="76" t="s">
        <v>259</v>
      </c>
      <c r="C104" s="25"/>
      <c r="D104" s="77">
        <f t="shared" ref="D104:F104" si="78">D86 + D103</f>
        <v>1605378.7911412821</v>
      </c>
      <c r="E104" s="77">
        <f t="shared" si="78"/>
        <v>302962.30553792318</v>
      </c>
      <c r="F104" s="77">
        <f t="shared" si="78"/>
        <v>677851.30388519843</v>
      </c>
      <c r="G104" s="77">
        <f>G86 + G103</f>
        <v>1481955.3349310416</v>
      </c>
      <c r="H104" s="77"/>
      <c r="I104" s="77"/>
      <c r="J104" s="77"/>
      <c r="K104" s="25"/>
      <c r="L104" s="77">
        <v>1032065</v>
      </c>
      <c r="M104" s="77">
        <v>1552727</v>
      </c>
      <c r="N104" s="77">
        <v>1668305</v>
      </c>
      <c r="O104" s="77">
        <v>1544616</v>
      </c>
      <c r="P104" s="77">
        <v>1259718</v>
      </c>
      <c r="Q104" s="77">
        <v>1370113</v>
      </c>
      <c r="R104" s="77">
        <v>1149417</v>
      </c>
      <c r="S104" s="77">
        <v>957639</v>
      </c>
      <c r="T104" s="77">
        <v>1152121</v>
      </c>
      <c r="U104" s="77">
        <v>1021017</v>
      </c>
      <c r="V104" s="77">
        <v>787728</v>
      </c>
      <c r="W104" s="77">
        <v>453539</v>
      </c>
      <c r="X104" s="77">
        <v>205030</v>
      </c>
      <c r="Y104"/>
      <c r="Z104"/>
      <c r="AH104" s="226"/>
    </row>
    <row r="105" spans="2:34" s="39" customFormat="1" ht="6.9" customHeight="1" x14ac:dyDescent="0.3">
      <c r="B105" s="78"/>
      <c r="C105" s="25"/>
      <c r="D105" s="79"/>
      <c r="E105" s="79"/>
      <c r="F105" s="79"/>
      <c r="G105" s="79"/>
      <c r="H105" s="79"/>
      <c r="I105" s="79"/>
      <c r="J105" s="79"/>
      <c r="K105" s="25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/>
      <c r="Z105"/>
      <c r="AH105" s="226"/>
    </row>
    <row r="106" spans="2:34" x14ac:dyDescent="0.3">
      <c r="B106" s="213" t="s">
        <v>364</v>
      </c>
      <c r="D106" s="32">
        <f t="shared" ref="D106:F106" si="79">$L106</f>
        <v>264</v>
      </c>
      <c r="E106" s="32">
        <f t="shared" si="79"/>
        <v>264</v>
      </c>
      <c r="F106" s="32">
        <f t="shared" si="79"/>
        <v>264</v>
      </c>
      <c r="G106" s="32">
        <f>$L106</f>
        <v>264</v>
      </c>
      <c r="L106" s="192">
        <v>264</v>
      </c>
      <c r="M106" s="192">
        <v>264</v>
      </c>
      <c r="N106" s="192">
        <v>264</v>
      </c>
      <c r="O106" s="192">
        <v>264</v>
      </c>
      <c r="P106" s="192">
        <v>264</v>
      </c>
      <c r="Q106" s="192">
        <v>264</v>
      </c>
      <c r="R106" s="192">
        <v>263</v>
      </c>
      <c r="S106" s="192">
        <v>262</v>
      </c>
      <c r="T106" s="192">
        <v>247</v>
      </c>
      <c r="U106" s="192">
        <v>254</v>
      </c>
      <c r="V106" s="192">
        <v>253</v>
      </c>
      <c r="W106" s="192">
        <v>235</v>
      </c>
      <c r="X106" s="192">
        <v>229</v>
      </c>
    </row>
    <row r="107" spans="2:34" x14ac:dyDescent="0.3">
      <c r="B107" s="213" t="s">
        <v>262</v>
      </c>
      <c r="D107" s="32">
        <f t="shared" ref="D107:G108" si="80">ROUND(D22, -3)</f>
        <v>412000</v>
      </c>
      <c r="E107" s="32">
        <f t="shared" si="80"/>
        <v>420000</v>
      </c>
      <c r="F107" s="32">
        <f t="shared" si="80"/>
        <v>428000</v>
      </c>
      <c r="G107" s="32">
        <f t="shared" si="80"/>
        <v>440000</v>
      </c>
      <c r="L107" s="192">
        <v>444384</v>
      </c>
      <c r="M107" s="192">
        <v>449840</v>
      </c>
      <c r="N107" s="192">
        <v>457278</v>
      </c>
      <c r="O107" s="192">
        <v>456195</v>
      </c>
      <c r="P107" s="192">
        <v>456835</v>
      </c>
      <c r="Q107" s="192">
        <v>461457</v>
      </c>
      <c r="R107" s="192">
        <v>460000</v>
      </c>
      <c r="S107" s="192">
        <v>454398</v>
      </c>
      <c r="T107" s="192">
        <v>447555</v>
      </c>
      <c r="U107" s="192">
        <v>448320</v>
      </c>
      <c r="V107" s="192">
        <v>442897</v>
      </c>
      <c r="W107" s="192">
        <v>359149</v>
      </c>
      <c r="X107" s="192">
        <v>358460</v>
      </c>
    </row>
    <row r="108" spans="2:34" x14ac:dyDescent="0.3">
      <c r="B108" s="213" t="s">
        <v>366</v>
      </c>
      <c r="D108" s="32">
        <f t="shared" si="80"/>
        <v>-26000</v>
      </c>
      <c r="E108" s="32">
        <f t="shared" si="80"/>
        <v>-25000</v>
      </c>
      <c r="F108" s="32">
        <f t="shared" si="80"/>
        <v>-24000</v>
      </c>
      <c r="G108" s="32">
        <f t="shared" si="80"/>
        <v>-22000</v>
      </c>
      <c r="L108" s="192">
        <v>-18260</v>
      </c>
      <c r="M108" s="192">
        <v>-22034</v>
      </c>
      <c r="N108" s="192">
        <v>-23060</v>
      </c>
      <c r="O108" s="192">
        <v>-16848</v>
      </c>
      <c r="P108" s="192">
        <v>-18421</v>
      </c>
      <c r="Q108" s="192">
        <v>-15566</v>
      </c>
      <c r="R108" s="192">
        <v>-13587</v>
      </c>
      <c r="S108" s="192">
        <v>-2086</v>
      </c>
      <c r="T108" s="192">
        <v>-15499</v>
      </c>
      <c r="U108" s="192">
        <v>-19681</v>
      </c>
      <c r="V108" s="192">
        <v>-27654</v>
      </c>
      <c r="W108" s="192">
        <v>-20526</v>
      </c>
      <c r="X108" s="192">
        <v>-17657</v>
      </c>
    </row>
    <row r="109" spans="2:34" x14ac:dyDescent="0.3">
      <c r="B109" s="230" t="s">
        <v>263</v>
      </c>
      <c r="D109" s="152">
        <f t="shared" ref="D109:E109" si="81">E109 + D46</f>
        <v>1069702.4304277606</v>
      </c>
      <c r="E109" s="152">
        <f t="shared" si="81"/>
        <v>947425.07589652285</v>
      </c>
      <c r="F109" s="152">
        <f>G109 + F46</f>
        <v>951324.70020293281</v>
      </c>
      <c r="G109" s="152">
        <f>L109 + G46</f>
        <v>953498.75478896825</v>
      </c>
      <c r="L109" s="231">
        <v>838867</v>
      </c>
      <c r="M109" s="231">
        <v>853843</v>
      </c>
      <c r="N109" s="231">
        <v>867850</v>
      </c>
      <c r="O109" s="231">
        <v>772463</v>
      </c>
      <c r="P109" s="231">
        <v>761344</v>
      </c>
      <c r="Q109" s="231">
        <v>734800</v>
      </c>
      <c r="R109" s="231">
        <v>640774</v>
      </c>
      <c r="S109" s="231">
        <v>630633</v>
      </c>
      <c r="T109" s="231">
        <v>675084</v>
      </c>
      <c r="U109" s="231">
        <v>593501</v>
      </c>
      <c r="V109" s="231">
        <v>602027</v>
      </c>
      <c r="W109" s="231">
        <v>632534</v>
      </c>
      <c r="X109" s="231">
        <v>563262</v>
      </c>
    </row>
    <row r="110" spans="2:34" x14ac:dyDescent="0.3">
      <c r="B110" s="213" t="s">
        <v>648</v>
      </c>
      <c r="D110" s="32">
        <f t="shared" ref="D110:G110" si="82">ROUND(D24, -3)</f>
        <v>58000</v>
      </c>
      <c r="E110" s="32">
        <f t="shared" si="82"/>
        <v>54000</v>
      </c>
      <c r="F110" s="32">
        <f t="shared" si="82"/>
        <v>50000</v>
      </c>
      <c r="G110" s="32">
        <f t="shared" si="82"/>
        <v>43000</v>
      </c>
      <c r="L110" s="192">
        <v>27506</v>
      </c>
      <c r="M110" s="192">
        <v>35679</v>
      </c>
      <c r="N110" s="192">
        <v>42030</v>
      </c>
      <c r="O110" s="192">
        <v>44254</v>
      </c>
      <c r="P110" s="192">
        <v>13196</v>
      </c>
      <c r="Q110" s="192">
        <v>0</v>
      </c>
      <c r="R110" s="192">
        <v>233</v>
      </c>
      <c r="S110" s="192">
        <v>283</v>
      </c>
      <c r="T110" s="192">
        <v>455</v>
      </c>
      <c r="U110" s="192">
        <v>1360</v>
      </c>
      <c r="V110" s="192">
        <v>1463</v>
      </c>
      <c r="W110" s="192">
        <v>1490</v>
      </c>
      <c r="X110" s="192">
        <v>2643</v>
      </c>
    </row>
    <row r="111" spans="2:34" s="39" customFormat="1" x14ac:dyDescent="0.3">
      <c r="B111" s="76" t="s">
        <v>649</v>
      </c>
      <c r="C111" s="25"/>
      <c r="D111" s="77">
        <f t="shared" ref="D111:G111" si="83">SUM(D106:D109) - D110</f>
        <v>1397966.4304277606</v>
      </c>
      <c r="E111" s="77">
        <f t="shared" si="83"/>
        <v>1288689.075896523</v>
      </c>
      <c r="F111" s="77">
        <f t="shared" si="83"/>
        <v>1305588.7002029328</v>
      </c>
      <c r="G111" s="77">
        <f t="shared" si="83"/>
        <v>1328762.7547889682</v>
      </c>
      <c r="H111" s="77"/>
      <c r="I111" s="77"/>
      <c r="J111" s="77"/>
      <c r="K111" s="25"/>
      <c r="L111" s="77">
        <f>SUM(L106:L109) - L110</f>
        <v>1237749</v>
      </c>
      <c r="M111" s="77">
        <f t="shared" ref="M111:X111" si="84">SUM(M106:M109) - M110</f>
        <v>1246234</v>
      </c>
      <c r="N111" s="77">
        <f t="shared" si="84"/>
        <v>1260302</v>
      </c>
      <c r="O111" s="77">
        <f t="shared" si="84"/>
        <v>1167820</v>
      </c>
      <c r="P111" s="77">
        <f t="shared" si="84"/>
        <v>1186826</v>
      </c>
      <c r="Q111" s="77">
        <f t="shared" si="84"/>
        <v>1180955</v>
      </c>
      <c r="R111" s="77">
        <f t="shared" si="84"/>
        <v>1087217</v>
      </c>
      <c r="S111" s="77">
        <f t="shared" si="84"/>
        <v>1082924</v>
      </c>
      <c r="T111" s="77">
        <f t="shared" si="84"/>
        <v>1106932</v>
      </c>
      <c r="U111" s="77">
        <f t="shared" si="84"/>
        <v>1021034</v>
      </c>
      <c r="V111" s="77">
        <f t="shared" si="84"/>
        <v>1016060</v>
      </c>
      <c r="W111" s="77">
        <f t="shared" si="84"/>
        <v>969902</v>
      </c>
      <c r="X111" s="77">
        <f t="shared" si="84"/>
        <v>901651</v>
      </c>
      <c r="Y111"/>
      <c r="Z111"/>
      <c r="AH111" s="226"/>
    </row>
    <row r="112" spans="2:34" s="39" customFormat="1" hidden="1" outlineLevel="1" x14ac:dyDescent="0.3">
      <c r="B112" s="76" t="s">
        <v>447</v>
      </c>
      <c r="C112" s="25"/>
      <c r="D112" s="77"/>
      <c r="E112" s="77"/>
      <c r="F112" s="77"/>
      <c r="G112" s="77"/>
      <c r="H112" s="77"/>
      <c r="I112" s="77"/>
      <c r="J112" s="77"/>
      <c r="K112" s="25"/>
      <c r="L112" s="77">
        <v>1237749</v>
      </c>
      <c r="M112" s="77">
        <v>1246234</v>
      </c>
      <c r="N112" s="77">
        <v>1260302</v>
      </c>
      <c r="O112" s="77">
        <v>0</v>
      </c>
      <c r="P112" s="77">
        <v>0</v>
      </c>
      <c r="Q112" s="77">
        <v>1180955</v>
      </c>
      <c r="R112" s="77">
        <v>0</v>
      </c>
      <c r="S112" s="77">
        <v>0</v>
      </c>
      <c r="T112" s="77">
        <v>1106932</v>
      </c>
      <c r="U112" s="77">
        <v>0</v>
      </c>
      <c r="V112" s="77">
        <v>1016060</v>
      </c>
      <c r="W112" s="77">
        <v>969902</v>
      </c>
      <c r="X112" s="77">
        <v>901651</v>
      </c>
      <c r="Y112"/>
      <c r="Z112"/>
      <c r="AH112" s="226"/>
    </row>
    <row r="113" spans="2:34" collapsed="1" x14ac:dyDescent="0.3">
      <c r="B113" s="30"/>
      <c r="L113" s="192"/>
      <c r="M113" s="192"/>
      <c r="N113" s="192"/>
      <c r="O113" s="192"/>
      <c r="P113" s="192"/>
      <c r="Q113" s="192"/>
      <c r="R113" s="192"/>
      <c r="S113" s="192"/>
      <c r="T113" s="192"/>
      <c r="U113" s="192"/>
      <c r="V113" s="192"/>
      <c r="W113" s="192"/>
      <c r="X113" s="192"/>
    </row>
    <row r="114" spans="2:34" s="64" customFormat="1" hidden="1" outlineLevel="1" x14ac:dyDescent="0.3">
      <c r="B114" s="56" t="str">
        <f>AAN!$B$137</f>
        <v>Statement of Cash Flows</v>
      </c>
      <c r="C114" s="3"/>
      <c r="D114" s="57"/>
      <c r="E114" s="57"/>
      <c r="F114" s="57"/>
      <c r="G114" s="57"/>
      <c r="H114" s="57"/>
      <c r="I114" s="57"/>
      <c r="J114" s="57"/>
      <c r="K114" s="3"/>
      <c r="L114" s="212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AH114" s="227"/>
    </row>
    <row r="115" spans="2:34" hidden="1" outlineLevel="1" x14ac:dyDescent="0.3">
      <c r="B115" s="30" t="s">
        <v>214</v>
      </c>
      <c r="L115" s="32">
        <v>-54271</v>
      </c>
      <c r="M115" s="32">
        <v>-39295</v>
      </c>
      <c r="N115" s="32">
        <v>118549</v>
      </c>
      <c r="O115" s="32">
        <v>23162</v>
      </c>
      <c r="P115" s="32">
        <v>12043</v>
      </c>
      <c r="Q115" s="32">
        <v>113987</v>
      </c>
      <c r="R115" s="32">
        <v>19962</v>
      </c>
      <c r="S115" s="32">
        <v>9885</v>
      </c>
      <c r="T115" s="32">
        <v>62666</v>
      </c>
      <c r="U115" s="32">
        <v>-18959</v>
      </c>
      <c r="V115" s="32">
        <v>-10391</v>
      </c>
      <c r="W115" s="32">
        <v>72042</v>
      </c>
      <c r="X115" s="32">
        <v>2771</v>
      </c>
    </row>
    <row r="116" spans="2:34" hidden="1" outlineLevel="1" x14ac:dyDescent="0.3">
      <c r="B116" s="30" t="s">
        <v>566</v>
      </c>
      <c r="L116" s="32">
        <v>19558</v>
      </c>
      <c r="M116" s="32">
        <v>9867</v>
      </c>
      <c r="N116" s="32">
        <v>28963</v>
      </c>
      <c r="O116" s="32">
        <v>19262</v>
      </c>
      <c r="P116" s="32">
        <v>9473</v>
      </c>
      <c r="Q116" s="32">
        <v>28868</v>
      </c>
      <c r="R116" s="32">
        <v>18835</v>
      </c>
      <c r="S116" s="32">
        <v>9380</v>
      </c>
      <c r="T116" s="32">
        <v>27480</v>
      </c>
      <c r="U116" s="32">
        <v>20574</v>
      </c>
      <c r="V116" s="32">
        <v>9838</v>
      </c>
      <c r="W116" s="32">
        <v>22898</v>
      </c>
      <c r="X116" s="32">
        <v>7193</v>
      </c>
    </row>
    <row r="117" spans="2:34" hidden="1" outlineLevel="1" x14ac:dyDescent="0.3">
      <c r="B117" s="30" t="s">
        <v>650</v>
      </c>
      <c r="L117" s="32">
        <v>169</v>
      </c>
      <c r="M117" s="32">
        <v>180</v>
      </c>
      <c r="N117" s="32">
        <v>1343</v>
      </c>
      <c r="O117" s="32">
        <v>1230</v>
      </c>
      <c r="P117" s="32">
        <v>1154</v>
      </c>
      <c r="Q117" s="32">
        <v>154</v>
      </c>
      <c r="R117" s="32">
        <v>145</v>
      </c>
      <c r="S117" s="32">
        <v>53</v>
      </c>
      <c r="T117" s="32">
        <v>2832</v>
      </c>
      <c r="U117" s="32">
        <v>339</v>
      </c>
      <c r="V117" s="32">
        <v>184</v>
      </c>
      <c r="W117" s="32">
        <v>1295</v>
      </c>
      <c r="X117" s="32">
        <v>149</v>
      </c>
    </row>
    <row r="118" spans="2:34" hidden="1" outlineLevel="1" x14ac:dyDescent="0.3">
      <c r="B118" s="30" t="s">
        <v>651</v>
      </c>
      <c r="L118" s="32">
        <v>44732</v>
      </c>
      <c r="M118" s="32">
        <v>17443</v>
      </c>
      <c r="N118" s="32">
        <v>55048</v>
      </c>
      <c r="O118" s="32">
        <v>36729</v>
      </c>
      <c r="P118" s="32" t="s">
        <v>207</v>
      </c>
      <c r="Q118" s="32" t="s">
        <v>207</v>
      </c>
      <c r="R118" s="32" t="s">
        <v>207</v>
      </c>
      <c r="S118" s="32" t="s">
        <v>207</v>
      </c>
      <c r="T118" s="32" t="s">
        <v>207</v>
      </c>
      <c r="U118" s="32" t="s">
        <v>207</v>
      </c>
      <c r="V118" s="32" t="s">
        <v>207</v>
      </c>
      <c r="W118" s="32" t="s">
        <v>207</v>
      </c>
      <c r="X118" s="32" t="s">
        <v>207</v>
      </c>
    </row>
    <row r="119" spans="2:34" hidden="1" outlineLevel="1" x14ac:dyDescent="0.3">
      <c r="B119" s="30" t="s">
        <v>533</v>
      </c>
      <c r="L119" s="32" t="s">
        <v>207</v>
      </c>
      <c r="M119" s="32" t="s">
        <v>207</v>
      </c>
      <c r="N119" s="32" t="s">
        <v>207</v>
      </c>
      <c r="O119" s="32" t="s">
        <v>207</v>
      </c>
      <c r="P119" s="32">
        <v>20284</v>
      </c>
      <c r="Q119" s="32" t="s">
        <v>207</v>
      </c>
      <c r="R119" s="32" t="s">
        <v>207</v>
      </c>
      <c r="S119" s="32" t="s">
        <v>207</v>
      </c>
      <c r="T119" s="32" t="s">
        <v>207</v>
      </c>
      <c r="U119" s="32" t="s">
        <v>207</v>
      </c>
      <c r="V119" s="32" t="s">
        <v>207</v>
      </c>
      <c r="W119" s="32" t="s">
        <v>207</v>
      </c>
      <c r="X119" s="32" t="s">
        <v>207</v>
      </c>
    </row>
    <row r="120" spans="2:34" hidden="1" outlineLevel="1" x14ac:dyDescent="0.3">
      <c r="B120" s="30" t="s">
        <v>652</v>
      </c>
      <c r="L120" s="32">
        <v>-2524</v>
      </c>
      <c r="M120" s="32">
        <v>3187</v>
      </c>
      <c r="N120" s="32">
        <v>-2346</v>
      </c>
      <c r="O120" s="32">
        <v>-2222</v>
      </c>
      <c r="P120" s="32">
        <v>-829</v>
      </c>
      <c r="Q120" s="32" t="s">
        <v>207</v>
      </c>
      <c r="R120" s="32" t="s">
        <v>207</v>
      </c>
      <c r="S120" s="32" t="s">
        <v>207</v>
      </c>
      <c r="T120" s="32" t="s">
        <v>207</v>
      </c>
      <c r="U120" s="32" t="s">
        <v>207</v>
      </c>
      <c r="V120" s="32" t="s">
        <v>207</v>
      </c>
      <c r="W120" s="32" t="s">
        <v>207</v>
      </c>
      <c r="X120" s="32" t="s">
        <v>207</v>
      </c>
    </row>
    <row r="121" spans="2:34" hidden="1" outlineLevel="1" x14ac:dyDescent="0.3">
      <c r="B121" s="30" t="s">
        <v>496</v>
      </c>
      <c r="L121" s="32">
        <v>20013</v>
      </c>
      <c r="M121" s="32" t="s">
        <v>207</v>
      </c>
      <c r="N121" s="32" t="s">
        <v>207</v>
      </c>
      <c r="O121" s="32" t="s">
        <v>207</v>
      </c>
      <c r="P121" s="32" t="s">
        <v>207</v>
      </c>
      <c r="Q121" s="32" t="s">
        <v>207</v>
      </c>
      <c r="R121" s="32" t="s">
        <v>207</v>
      </c>
      <c r="S121" s="32" t="s">
        <v>207</v>
      </c>
      <c r="T121" s="32" t="s">
        <v>207</v>
      </c>
      <c r="U121" s="32" t="s">
        <v>207</v>
      </c>
      <c r="V121" s="32" t="s">
        <v>207</v>
      </c>
      <c r="W121" s="32" t="s">
        <v>207</v>
      </c>
      <c r="X121" s="32" t="s">
        <v>207</v>
      </c>
    </row>
    <row r="122" spans="2:34" hidden="1" outlineLevel="1" x14ac:dyDescent="0.3">
      <c r="B122" s="30" t="s">
        <v>653</v>
      </c>
      <c r="L122" s="32">
        <v>2695</v>
      </c>
      <c r="M122" s="32">
        <v>1960</v>
      </c>
      <c r="N122" s="32">
        <v>1960</v>
      </c>
      <c r="O122" s="32">
        <v>1960</v>
      </c>
      <c r="P122" s="32" t="s">
        <v>207</v>
      </c>
      <c r="Q122" s="32" t="s">
        <v>207</v>
      </c>
      <c r="R122" s="32" t="s">
        <v>207</v>
      </c>
      <c r="S122" s="32" t="s">
        <v>207</v>
      </c>
      <c r="T122" s="32" t="s">
        <v>207</v>
      </c>
      <c r="U122" s="32" t="s">
        <v>207</v>
      </c>
      <c r="V122" s="32" t="s">
        <v>207</v>
      </c>
      <c r="W122" s="32" t="s">
        <v>207</v>
      </c>
      <c r="X122" s="32" t="s">
        <v>207</v>
      </c>
    </row>
    <row r="123" spans="2:34" hidden="1" outlineLevel="1" x14ac:dyDescent="0.3">
      <c r="B123" s="30" t="s">
        <v>654</v>
      </c>
      <c r="L123" s="32" t="s">
        <v>207</v>
      </c>
      <c r="M123" s="32" t="s">
        <v>207</v>
      </c>
      <c r="N123" s="32" t="s">
        <v>207</v>
      </c>
      <c r="O123" s="32" t="s">
        <v>207</v>
      </c>
      <c r="P123" s="32">
        <v>1960</v>
      </c>
      <c r="Q123" s="32">
        <v>1470</v>
      </c>
      <c r="R123" s="32" t="s">
        <v>207</v>
      </c>
      <c r="S123" s="32" t="s">
        <v>207</v>
      </c>
      <c r="T123" s="32" t="s">
        <v>207</v>
      </c>
      <c r="U123" s="32" t="s">
        <v>207</v>
      </c>
      <c r="V123" s="32" t="s">
        <v>207</v>
      </c>
      <c r="W123" s="32" t="s">
        <v>207</v>
      </c>
      <c r="X123" s="32" t="s">
        <v>207</v>
      </c>
    </row>
    <row r="124" spans="2:34" hidden="1" outlineLevel="1" x14ac:dyDescent="0.3">
      <c r="B124" s="30" t="s">
        <v>655</v>
      </c>
      <c r="L124" s="32">
        <v>175</v>
      </c>
      <c r="M124" s="32">
        <v>580</v>
      </c>
      <c r="N124" s="32">
        <v>-2248</v>
      </c>
      <c r="O124" s="32">
        <v>-867</v>
      </c>
      <c r="P124" s="32">
        <v>-358</v>
      </c>
      <c r="Q124" s="32">
        <v>1421</v>
      </c>
      <c r="R124" s="32">
        <v>1817</v>
      </c>
      <c r="S124" s="32">
        <v>1339</v>
      </c>
      <c r="T124" s="32">
        <v>540</v>
      </c>
      <c r="U124" s="32" t="s">
        <v>207</v>
      </c>
      <c r="V124" s="32">
        <v>1152</v>
      </c>
      <c r="W124" s="32">
        <v>820</v>
      </c>
      <c r="X124" s="32" t="s">
        <v>207</v>
      </c>
    </row>
    <row r="125" spans="2:34" hidden="1" outlineLevel="1" x14ac:dyDescent="0.3">
      <c r="B125" s="30" t="s">
        <v>656</v>
      </c>
      <c r="L125" s="32" t="s">
        <v>207</v>
      </c>
      <c r="M125" s="32" t="s">
        <v>207</v>
      </c>
      <c r="N125" s="32" t="s">
        <v>207</v>
      </c>
      <c r="O125" s="32" t="s">
        <v>207</v>
      </c>
      <c r="P125" s="32" t="s">
        <v>207</v>
      </c>
      <c r="Q125" s="32" t="s">
        <v>207</v>
      </c>
      <c r="R125" s="32" t="s">
        <v>207</v>
      </c>
      <c r="S125" s="32" t="s">
        <v>207</v>
      </c>
      <c r="T125" s="32" t="s">
        <v>207</v>
      </c>
      <c r="U125" s="32">
        <v>1152</v>
      </c>
      <c r="V125" s="32" t="s">
        <v>207</v>
      </c>
      <c r="W125" s="32" t="s">
        <v>207</v>
      </c>
      <c r="X125" s="32">
        <v>-269</v>
      </c>
    </row>
    <row r="126" spans="2:34" hidden="1" outlineLevel="1" x14ac:dyDescent="0.3">
      <c r="B126" s="30" t="s">
        <v>450</v>
      </c>
      <c r="L126" s="32">
        <v>1737</v>
      </c>
      <c r="M126" s="32">
        <v>-811</v>
      </c>
      <c r="N126" s="32">
        <v>13657</v>
      </c>
      <c r="O126" s="32">
        <v>9349</v>
      </c>
      <c r="P126" s="32">
        <v>4227</v>
      </c>
      <c r="Q126" s="32">
        <v>14876</v>
      </c>
      <c r="R126" s="32">
        <v>9440</v>
      </c>
      <c r="S126" s="32">
        <v>3774</v>
      </c>
      <c r="T126" s="32">
        <v>15362</v>
      </c>
      <c r="U126" s="32">
        <v>10262</v>
      </c>
      <c r="V126" s="32">
        <v>4955</v>
      </c>
      <c r="W126" s="32">
        <v>13265</v>
      </c>
      <c r="X126" s="32">
        <v>4473</v>
      </c>
    </row>
    <row r="127" spans="2:34" hidden="1" outlineLevel="1" x14ac:dyDescent="0.3">
      <c r="B127" s="30" t="s">
        <v>376</v>
      </c>
      <c r="L127" s="32" t="s">
        <v>207</v>
      </c>
      <c r="M127" s="32" t="s">
        <v>207</v>
      </c>
      <c r="N127" s="32" t="s">
        <v>207</v>
      </c>
      <c r="O127" s="32" t="s">
        <v>207</v>
      </c>
      <c r="P127" s="32" t="s">
        <v>207</v>
      </c>
      <c r="Q127" s="32" t="s">
        <v>207</v>
      </c>
      <c r="R127" s="32" t="s">
        <v>207</v>
      </c>
      <c r="S127" s="32" t="s">
        <v>207</v>
      </c>
      <c r="T127" s="32" t="s">
        <v>207</v>
      </c>
      <c r="U127" s="32" t="s">
        <v>207</v>
      </c>
      <c r="V127" s="32" t="s">
        <v>207</v>
      </c>
      <c r="W127" s="32">
        <v>-2682</v>
      </c>
      <c r="X127" s="32" t="s">
        <v>207</v>
      </c>
    </row>
    <row r="128" spans="2:34" hidden="1" outlineLevel="1" x14ac:dyDescent="0.3">
      <c r="B128" s="30" t="s">
        <v>657</v>
      </c>
      <c r="L128" s="32">
        <v>5425</v>
      </c>
      <c r="M128" s="32">
        <v>2704</v>
      </c>
      <c r="N128" s="32">
        <v>6586</v>
      </c>
      <c r="O128" s="32">
        <v>4577</v>
      </c>
      <c r="P128" s="32">
        <v>2596</v>
      </c>
      <c r="Q128" s="32">
        <v>7481</v>
      </c>
      <c r="R128" s="32">
        <v>4984</v>
      </c>
      <c r="S128" s="32">
        <v>2468</v>
      </c>
      <c r="T128" s="32">
        <v>8185</v>
      </c>
      <c r="U128" s="32">
        <v>5494</v>
      </c>
      <c r="V128" s="32">
        <v>3779</v>
      </c>
      <c r="W128" s="32">
        <v>609</v>
      </c>
      <c r="X128" s="32">
        <v>184</v>
      </c>
    </row>
    <row r="129" spans="2:24" hidden="1" outlineLevel="1" x14ac:dyDescent="0.3">
      <c r="B129" s="30" t="s">
        <v>376</v>
      </c>
      <c r="L129" s="32">
        <v>-16414</v>
      </c>
      <c r="M129" s="32">
        <v>-16415</v>
      </c>
      <c r="N129" s="32" t="s">
        <v>207</v>
      </c>
      <c r="O129" s="32" t="s">
        <v>207</v>
      </c>
      <c r="P129" s="32">
        <v>6</v>
      </c>
      <c r="Q129" s="32" t="s">
        <v>207</v>
      </c>
      <c r="R129" s="32" t="s">
        <v>207</v>
      </c>
      <c r="S129" s="32" t="s">
        <v>207</v>
      </c>
      <c r="T129" s="32" t="s">
        <v>207</v>
      </c>
      <c r="U129" s="32" t="s">
        <v>207</v>
      </c>
      <c r="V129" s="32" t="s">
        <v>207</v>
      </c>
      <c r="W129" s="32" t="s">
        <v>207</v>
      </c>
      <c r="X129" s="32" t="s">
        <v>207</v>
      </c>
    </row>
    <row r="130" spans="2:24" hidden="1" outlineLevel="1" x14ac:dyDescent="0.3">
      <c r="B130" s="30" t="s">
        <v>336</v>
      </c>
      <c r="L130" s="32">
        <v>253634</v>
      </c>
      <c r="M130" s="32">
        <v>108994</v>
      </c>
      <c r="N130" s="32">
        <v>-396895</v>
      </c>
      <c r="O130" s="32">
        <v>37470</v>
      </c>
      <c r="P130" s="32">
        <v>23762</v>
      </c>
      <c r="Q130" s="32">
        <v>-525331</v>
      </c>
      <c r="R130" s="32">
        <v>-153396</v>
      </c>
      <c r="S130" s="32">
        <v>-134589</v>
      </c>
      <c r="T130" s="32">
        <v>-336818</v>
      </c>
      <c r="U130" s="32">
        <v>-23179</v>
      </c>
      <c r="V130" s="32">
        <v>7739</v>
      </c>
      <c r="W130" s="32">
        <v>-315426</v>
      </c>
      <c r="X130" s="32">
        <v>7966</v>
      </c>
    </row>
    <row r="131" spans="2:24" hidden="1" outlineLevel="1" x14ac:dyDescent="0.3">
      <c r="B131" s="30" t="s">
        <v>574</v>
      </c>
      <c r="L131" s="32">
        <v>-22849</v>
      </c>
      <c r="M131" s="32">
        <v>51508</v>
      </c>
      <c r="N131" s="32">
        <v>-74250</v>
      </c>
      <c r="O131" s="32">
        <v>-265753</v>
      </c>
      <c r="P131" s="32">
        <v>37428</v>
      </c>
      <c r="Q131" s="32">
        <v>-63312</v>
      </c>
      <c r="R131" s="32">
        <v>-125638</v>
      </c>
      <c r="S131" s="32">
        <v>90182</v>
      </c>
      <c r="T131" s="32">
        <v>-108284</v>
      </c>
      <c r="U131" s="32">
        <v>-171176</v>
      </c>
      <c r="V131" s="32">
        <v>37445</v>
      </c>
      <c r="W131" s="32">
        <v>-4986</v>
      </c>
      <c r="X131" s="32">
        <v>78999</v>
      </c>
    </row>
    <row r="132" spans="2:24" hidden="1" outlineLevel="1" x14ac:dyDescent="0.3">
      <c r="B132" s="30" t="s">
        <v>658</v>
      </c>
      <c r="L132" s="32">
        <v>-4979</v>
      </c>
      <c r="M132" s="32">
        <v>-422</v>
      </c>
      <c r="N132" s="32">
        <v>28614</v>
      </c>
      <c r="O132" s="32">
        <v>-5987</v>
      </c>
      <c r="P132" s="32">
        <v>-6302</v>
      </c>
      <c r="Q132" s="32">
        <v>20507</v>
      </c>
      <c r="R132" s="32">
        <v>-11646</v>
      </c>
      <c r="S132" s="32">
        <v>-6838</v>
      </c>
      <c r="T132" s="32">
        <v>29573</v>
      </c>
      <c r="U132" s="32">
        <v>-16705</v>
      </c>
      <c r="V132" s="32">
        <v>-10206</v>
      </c>
      <c r="W132" s="32">
        <v>48526</v>
      </c>
      <c r="X132" s="32">
        <v>-1303</v>
      </c>
    </row>
    <row r="133" spans="2:24" hidden="1" outlineLevel="1" x14ac:dyDescent="0.3">
      <c r="B133" s="30" t="s">
        <v>436</v>
      </c>
      <c r="L133" s="32">
        <v>25128</v>
      </c>
      <c r="M133" s="32">
        <v>13900</v>
      </c>
      <c r="N133" s="32">
        <v>19278</v>
      </c>
      <c r="O133" s="32">
        <v>3321</v>
      </c>
      <c r="P133" s="32">
        <v>224</v>
      </c>
      <c r="Q133" s="32">
        <v>-33958</v>
      </c>
      <c r="R133" s="32">
        <v>-53396</v>
      </c>
      <c r="S133" s="32">
        <v>-62334</v>
      </c>
      <c r="T133" s="32">
        <v>12314</v>
      </c>
      <c r="U133" s="32">
        <v>-11534</v>
      </c>
      <c r="V133" s="32">
        <v>-8503</v>
      </c>
      <c r="W133" s="32">
        <v>5851</v>
      </c>
      <c r="X133" s="32">
        <v>-4280</v>
      </c>
    </row>
    <row r="134" spans="2:24" hidden="1" outlineLevel="1" x14ac:dyDescent="0.3">
      <c r="B134" s="30" t="s">
        <v>625</v>
      </c>
      <c r="L134" s="32">
        <v>-678</v>
      </c>
      <c r="M134" s="32">
        <v>-1046</v>
      </c>
      <c r="N134" s="32">
        <v>-382</v>
      </c>
      <c r="O134" s="32">
        <v>-1164</v>
      </c>
      <c r="P134" s="32">
        <v>-1195</v>
      </c>
      <c r="Q134" s="32">
        <v>-4569</v>
      </c>
      <c r="R134" s="32">
        <v>-2427</v>
      </c>
      <c r="S134" s="32">
        <v>-4161</v>
      </c>
      <c r="T134" s="32">
        <v>8455</v>
      </c>
      <c r="U134" s="32">
        <v>7198</v>
      </c>
      <c r="V134" s="32">
        <v>349</v>
      </c>
      <c r="W134" s="32">
        <v>-279</v>
      </c>
      <c r="X134" s="32">
        <v>-484</v>
      </c>
    </row>
    <row r="135" spans="2:24" hidden="1" outlineLevel="1" x14ac:dyDescent="0.3">
      <c r="B135" s="30" t="s">
        <v>630</v>
      </c>
      <c r="L135" s="32">
        <v>-118047</v>
      </c>
      <c r="M135" s="32">
        <v>-75532</v>
      </c>
      <c r="N135" s="32">
        <v>16450</v>
      </c>
      <c r="O135" s="32">
        <v>-64512</v>
      </c>
      <c r="P135" s="32">
        <v>-33279</v>
      </c>
      <c r="Q135" s="32">
        <v>168954</v>
      </c>
      <c r="R135" s="32">
        <v>137767</v>
      </c>
      <c r="S135" s="32">
        <v>148101</v>
      </c>
      <c r="T135" s="32" t="s">
        <v>207</v>
      </c>
      <c r="U135" s="32" t="s">
        <v>207</v>
      </c>
      <c r="V135" s="32" t="s">
        <v>207</v>
      </c>
      <c r="W135" s="32" t="s">
        <v>207</v>
      </c>
      <c r="X135" s="32" t="s">
        <v>207</v>
      </c>
    </row>
    <row r="136" spans="2:24" hidden="1" outlineLevel="1" x14ac:dyDescent="0.3">
      <c r="B136" s="30" t="s">
        <v>248</v>
      </c>
      <c r="L136" s="32">
        <v>-37785</v>
      </c>
      <c r="M136" s="32">
        <v>-13129</v>
      </c>
      <c r="N136" s="32">
        <v>-61063</v>
      </c>
      <c r="O136" s="32">
        <v>-38300</v>
      </c>
      <c r="P136" s="32">
        <v>-21544</v>
      </c>
      <c r="Q136" s="32" t="s">
        <v>207</v>
      </c>
      <c r="R136" s="32" t="s">
        <v>207</v>
      </c>
      <c r="S136" s="32" t="s">
        <v>207</v>
      </c>
      <c r="T136" s="32" t="s">
        <v>207</v>
      </c>
      <c r="U136" s="32" t="s">
        <v>207</v>
      </c>
      <c r="V136" s="32" t="s">
        <v>207</v>
      </c>
      <c r="W136" s="32" t="s">
        <v>207</v>
      </c>
      <c r="X136" s="32" t="s">
        <v>207</v>
      </c>
    </row>
    <row r="137" spans="2:24" hidden="1" outlineLevel="1" x14ac:dyDescent="0.3">
      <c r="B137" s="30" t="s">
        <v>459</v>
      </c>
      <c r="L137" s="32">
        <v>-55914</v>
      </c>
      <c r="M137" s="32">
        <v>-136769</v>
      </c>
      <c r="N137" s="32">
        <v>26567</v>
      </c>
      <c r="O137" s="32">
        <v>108838</v>
      </c>
      <c r="P137" s="32">
        <v>-74979</v>
      </c>
      <c r="Q137" s="32">
        <v>33345</v>
      </c>
      <c r="R137" s="32">
        <v>68074</v>
      </c>
      <c r="S137" s="32">
        <v>-81575</v>
      </c>
      <c r="T137" s="32">
        <v>32103</v>
      </c>
      <c r="U137" s="32">
        <v>82174</v>
      </c>
      <c r="V137" s="32">
        <v>-69561</v>
      </c>
      <c r="W137" s="32">
        <v>40816</v>
      </c>
      <c r="X137" s="32">
        <v>-93565</v>
      </c>
    </row>
    <row r="138" spans="2:24" hidden="1" outlineLevel="1" x14ac:dyDescent="0.3">
      <c r="B138" s="30" t="s">
        <v>281</v>
      </c>
      <c r="L138" s="32">
        <v>59805</v>
      </c>
      <c r="M138" s="32">
        <v>-73096</v>
      </c>
      <c r="N138" s="32">
        <v>-220169</v>
      </c>
      <c r="O138" s="32">
        <v>-132907</v>
      </c>
      <c r="P138" s="32">
        <v>-25329</v>
      </c>
      <c r="Q138" s="32">
        <v>-236107</v>
      </c>
      <c r="R138" s="32">
        <v>-85479</v>
      </c>
      <c r="S138" s="32">
        <v>-24315</v>
      </c>
      <c r="T138" s="32">
        <v>-245592</v>
      </c>
      <c r="U138" s="32">
        <v>-114360</v>
      </c>
      <c r="V138" s="32">
        <v>-33220</v>
      </c>
      <c r="W138" s="32">
        <v>-117251</v>
      </c>
      <c r="X138" s="32">
        <v>1834</v>
      </c>
    </row>
    <row r="139" spans="2:24" hidden="1" outlineLevel="1" x14ac:dyDescent="0.3">
      <c r="B139" s="30" t="s">
        <v>659</v>
      </c>
      <c r="L139" s="32" t="s">
        <v>207</v>
      </c>
      <c r="M139" s="32" t="s">
        <v>207</v>
      </c>
      <c r="N139" s="32" t="s">
        <v>207</v>
      </c>
      <c r="O139" s="32" t="s">
        <v>207</v>
      </c>
      <c r="P139" s="32" t="s">
        <v>207</v>
      </c>
      <c r="Q139" s="32">
        <v>-9951</v>
      </c>
      <c r="R139" s="32" t="s">
        <v>207</v>
      </c>
      <c r="S139" s="32" t="s">
        <v>207</v>
      </c>
      <c r="T139" s="32">
        <v>-49</v>
      </c>
      <c r="U139" s="32" t="s">
        <v>207</v>
      </c>
      <c r="V139" s="32" t="s">
        <v>207</v>
      </c>
      <c r="W139" s="32">
        <v>-35432</v>
      </c>
      <c r="X139" s="32">
        <v>-35432</v>
      </c>
    </row>
    <row r="140" spans="2:24" hidden="1" outlineLevel="1" x14ac:dyDescent="0.3">
      <c r="B140" s="30" t="s">
        <v>660</v>
      </c>
      <c r="L140" s="32">
        <v>-3968</v>
      </c>
      <c r="M140" s="32">
        <v>-1918</v>
      </c>
      <c r="N140" s="32">
        <v>-2014</v>
      </c>
      <c r="O140" s="32">
        <v>-1940</v>
      </c>
      <c r="P140" s="32" t="s">
        <v>207</v>
      </c>
      <c r="Q140" s="32" t="s">
        <v>207</v>
      </c>
      <c r="R140" s="32" t="s">
        <v>207</v>
      </c>
      <c r="S140" s="32" t="s">
        <v>207</v>
      </c>
      <c r="T140" s="32" t="s">
        <v>207</v>
      </c>
      <c r="U140" s="32" t="s">
        <v>207</v>
      </c>
      <c r="V140" s="32" t="s">
        <v>207</v>
      </c>
      <c r="W140" s="32" t="s">
        <v>207</v>
      </c>
      <c r="X140" s="32" t="s">
        <v>207</v>
      </c>
    </row>
    <row r="141" spans="2:24" hidden="1" outlineLevel="1" x14ac:dyDescent="0.3">
      <c r="B141" s="30" t="s">
        <v>661</v>
      </c>
      <c r="L141" s="32">
        <v>-9101</v>
      </c>
      <c r="M141" s="32">
        <v>-6391</v>
      </c>
      <c r="N141" s="32">
        <v>-31903</v>
      </c>
      <c r="O141" s="32">
        <v>-17531</v>
      </c>
      <c r="P141" s="32">
        <v>-13291</v>
      </c>
      <c r="Q141" s="32">
        <v>-19516</v>
      </c>
      <c r="R141" s="32">
        <v>-11455</v>
      </c>
      <c r="S141" s="32">
        <v>-5330</v>
      </c>
      <c r="T141" s="32">
        <v>-21428</v>
      </c>
      <c r="U141" s="32">
        <v>-10611</v>
      </c>
      <c r="V141" s="32">
        <v>-5729</v>
      </c>
      <c r="W141" s="32">
        <v>-18400</v>
      </c>
      <c r="X141" s="32">
        <v>-6096</v>
      </c>
    </row>
    <row r="142" spans="2:24" hidden="1" outlineLevel="1" x14ac:dyDescent="0.3">
      <c r="B142" s="30" t="s">
        <v>287</v>
      </c>
      <c r="L142" s="32">
        <v>-13069</v>
      </c>
      <c r="M142" s="32">
        <v>-8309</v>
      </c>
      <c r="N142" s="32">
        <v>-33917</v>
      </c>
      <c r="O142" s="32">
        <v>-19471</v>
      </c>
      <c r="P142" s="32">
        <v>-13291</v>
      </c>
      <c r="Q142" s="32">
        <v>-29467</v>
      </c>
      <c r="R142" s="32">
        <v>-11455</v>
      </c>
      <c r="S142" s="32">
        <v>-5330</v>
      </c>
      <c r="T142" s="32">
        <v>-21477</v>
      </c>
      <c r="U142" s="32">
        <v>-10611</v>
      </c>
      <c r="V142" s="32">
        <v>-5729</v>
      </c>
      <c r="W142" s="32">
        <v>-53832</v>
      </c>
      <c r="X142" s="32">
        <v>-41528</v>
      </c>
    </row>
    <row r="143" spans="2:24" hidden="1" outlineLevel="1" x14ac:dyDescent="0.3">
      <c r="B143" s="30" t="s">
        <v>662</v>
      </c>
      <c r="L143" s="32" t="s">
        <v>207</v>
      </c>
      <c r="M143" s="32" t="s">
        <v>207</v>
      </c>
      <c r="N143" s="32" t="s">
        <v>207</v>
      </c>
      <c r="O143" s="32" t="s">
        <v>207</v>
      </c>
      <c r="P143" s="32" t="s">
        <v>207</v>
      </c>
      <c r="Q143" s="32" t="s">
        <v>207</v>
      </c>
      <c r="R143" s="32" t="s">
        <v>207</v>
      </c>
      <c r="S143" s="32" t="s">
        <v>207</v>
      </c>
      <c r="T143" s="32" t="s">
        <v>207</v>
      </c>
      <c r="U143" s="32" t="s">
        <v>207</v>
      </c>
      <c r="V143" s="32" t="s">
        <v>207</v>
      </c>
      <c r="W143" s="32">
        <v>91334</v>
      </c>
      <c r="X143" s="32" t="s">
        <v>207</v>
      </c>
    </row>
    <row r="144" spans="2:24" hidden="1" outlineLevel="1" x14ac:dyDescent="0.3">
      <c r="B144" s="30" t="s">
        <v>848</v>
      </c>
      <c r="L144" s="32">
        <v>-676019</v>
      </c>
      <c r="M144" s="32">
        <v>-355477</v>
      </c>
      <c r="N144" s="32">
        <v>-1536448</v>
      </c>
      <c r="O144" s="32">
        <v>-942973</v>
      </c>
      <c r="P144" s="32">
        <v>-482496</v>
      </c>
      <c r="Q144" s="32">
        <v>-1454510</v>
      </c>
      <c r="R144" s="32">
        <v>-899720</v>
      </c>
      <c r="S144" s="32">
        <v>-464453</v>
      </c>
      <c r="T144" s="32" t="s">
        <v>207</v>
      </c>
      <c r="U144" s="32" t="s">
        <v>207</v>
      </c>
      <c r="V144" s="32" t="s">
        <v>207</v>
      </c>
      <c r="W144" s="32" t="s">
        <v>207</v>
      </c>
      <c r="X144" s="32" t="s">
        <v>207</v>
      </c>
    </row>
    <row r="145" spans="2:24" hidden="1" outlineLevel="1" x14ac:dyDescent="0.3">
      <c r="B145" s="30" t="s">
        <v>849</v>
      </c>
      <c r="L145" s="32">
        <v>676019</v>
      </c>
      <c r="M145" s="32">
        <v>855477</v>
      </c>
      <c r="N145" s="32">
        <v>1816328</v>
      </c>
      <c r="O145" s="32">
        <v>1102973</v>
      </c>
      <c r="P145" s="32">
        <v>505005</v>
      </c>
      <c r="Q145" s="32">
        <v>1752106</v>
      </c>
      <c r="R145" s="32">
        <v>999143</v>
      </c>
      <c r="S145" s="32">
        <v>519827</v>
      </c>
      <c r="T145" s="32">
        <v>258527</v>
      </c>
      <c r="U145" s="32">
        <v>102834</v>
      </c>
      <c r="V145" s="32">
        <v>28877</v>
      </c>
      <c r="W145" s="32" t="s">
        <v>207</v>
      </c>
      <c r="X145" s="32" t="s">
        <v>207</v>
      </c>
    </row>
    <row r="146" spans="2:24" hidden="1" outlineLevel="1" x14ac:dyDescent="0.3">
      <c r="B146" s="30" t="s">
        <v>850</v>
      </c>
      <c r="L146" s="32" t="s">
        <v>207</v>
      </c>
      <c r="M146" s="32">
        <v>-118</v>
      </c>
      <c r="N146" s="32">
        <v>-338</v>
      </c>
      <c r="O146" s="32">
        <v>-170</v>
      </c>
      <c r="P146" s="32" t="s">
        <v>207</v>
      </c>
      <c r="Q146" s="32" t="s">
        <v>207</v>
      </c>
      <c r="R146" s="32" t="s">
        <v>207</v>
      </c>
      <c r="S146" s="32" t="s">
        <v>207</v>
      </c>
      <c r="T146" s="32" t="s">
        <v>207</v>
      </c>
      <c r="U146" s="32" t="s">
        <v>207</v>
      </c>
      <c r="V146" s="32" t="s">
        <v>207</v>
      </c>
      <c r="W146" s="32" t="s">
        <v>207</v>
      </c>
      <c r="X146" s="32" t="s">
        <v>207</v>
      </c>
    </row>
    <row r="147" spans="2:24" hidden="1" outlineLevel="1" x14ac:dyDescent="0.3">
      <c r="B147" s="30" t="s">
        <v>851</v>
      </c>
      <c r="L147" s="32">
        <v>7071</v>
      </c>
      <c r="M147" s="32">
        <v>1832</v>
      </c>
      <c r="N147" s="32">
        <v>3380</v>
      </c>
      <c r="O147" s="32">
        <v>3407</v>
      </c>
      <c r="P147" s="32" t="s">
        <v>207</v>
      </c>
      <c r="Q147" s="32" t="s">
        <v>207</v>
      </c>
      <c r="R147" s="32" t="s">
        <v>207</v>
      </c>
      <c r="S147" s="32" t="s">
        <v>207</v>
      </c>
      <c r="T147" s="32" t="s">
        <v>207</v>
      </c>
      <c r="U147" s="32" t="s">
        <v>207</v>
      </c>
      <c r="V147" s="32" t="s">
        <v>207</v>
      </c>
      <c r="W147" s="32" t="s">
        <v>207</v>
      </c>
      <c r="X147" s="32" t="s">
        <v>207</v>
      </c>
    </row>
    <row r="148" spans="2:24" hidden="1" outlineLevel="1" x14ac:dyDescent="0.3">
      <c r="B148" s="30" t="s">
        <v>405</v>
      </c>
      <c r="L148" s="32" t="s">
        <v>207</v>
      </c>
      <c r="M148" s="32" t="s">
        <v>207</v>
      </c>
      <c r="N148" s="32" t="s">
        <v>207</v>
      </c>
      <c r="O148" s="32" t="s">
        <v>207</v>
      </c>
      <c r="P148" s="32" t="s">
        <v>207</v>
      </c>
      <c r="Q148" s="32" t="s">
        <v>207</v>
      </c>
      <c r="R148" s="32" t="s">
        <v>207</v>
      </c>
      <c r="S148" s="32" t="s">
        <v>207</v>
      </c>
      <c r="T148" s="32" t="s">
        <v>207</v>
      </c>
      <c r="U148" s="32" t="s">
        <v>207</v>
      </c>
      <c r="V148" s="32" t="s">
        <v>207</v>
      </c>
      <c r="W148" s="32">
        <v>-690</v>
      </c>
      <c r="X148" s="32" t="s">
        <v>207</v>
      </c>
    </row>
    <row r="149" spans="2:24" hidden="1" outlineLevel="1" x14ac:dyDescent="0.3">
      <c r="B149" s="30" t="s">
        <v>663</v>
      </c>
      <c r="L149" s="32">
        <v>180</v>
      </c>
      <c r="M149" s="32" t="s">
        <v>207</v>
      </c>
      <c r="N149" s="32">
        <v>116</v>
      </c>
      <c r="O149" s="32">
        <v>116</v>
      </c>
      <c r="P149" s="32">
        <v>40</v>
      </c>
      <c r="Q149" s="32">
        <v>56</v>
      </c>
      <c r="R149" s="32">
        <v>56</v>
      </c>
      <c r="S149" s="32">
        <v>56</v>
      </c>
      <c r="T149" s="32">
        <v>1532</v>
      </c>
      <c r="U149" s="32">
        <v>422</v>
      </c>
      <c r="V149" s="32">
        <v>169</v>
      </c>
      <c r="W149" s="32">
        <v>260</v>
      </c>
      <c r="X149" s="32">
        <v>247</v>
      </c>
    </row>
    <row r="150" spans="2:24" hidden="1" outlineLevel="1" x14ac:dyDescent="0.3">
      <c r="B150" s="30" t="s">
        <v>664</v>
      </c>
      <c r="L150" s="32" t="s">
        <v>207</v>
      </c>
      <c r="M150" s="32" t="s">
        <v>207</v>
      </c>
      <c r="N150" s="32">
        <v>-35216</v>
      </c>
      <c r="O150" s="32">
        <v>-35216</v>
      </c>
      <c r="P150" s="32" t="s">
        <v>207</v>
      </c>
      <c r="Q150" s="32" t="s">
        <v>207</v>
      </c>
      <c r="R150" s="32" t="s">
        <v>207</v>
      </c>
      <c r="S150" s="32" t="s">
        <v>207</v>
      </c>
      <c r="T150" s="32" t="s">
        <v>207</v>
      </c>
      <c r="U150" s="32" t="s">
        <v>207</v>
      </c>
      <c r="V150" s="32" t="s">
        <v>207</v>
      </c>
      <c r="W150" s="32" t="s">
        <v>207</v>
      </c>
      <c r="X150" s="32" t="s">
        <v>207</v>
      </c>
    </row>
    <row r="151" spans="2:24" hidden="1" outlineLevel="1" x14ac:dyDescent="0.3">
      <c r="B151" s="30" t="s">
        <v>665</v>
      </c>
      <c r="L151" s="32">
        <v>-317</v>
      </c>
      <c r="M151" s="32">
        <v>-306</v>
      </c>
      <c r="N151" s="32">
        <v>-8367</v>
      </c>
      <c r="O151" s="32">
        <v>-7366</v>
      </c>
      <c r="P151" s="32">
        <v>-5686</v>
      </c>
      <c r="Q151" s="32">
        <v>-4843</v>
      </c>
      <c r="R151" s="32">
        <v>-1098</v>
      </c>
      <c r="S151" s="32">
        <v>-1085</v>
      </c>
      <c r="T151" s="32">
        <v>-6114</v>
      </c>
      <c r="U151" s="32">
        <v>-7</v>
      </c>
      <c r="V151" s="32" t="s">
        <v>207</v>
      </c>
      <c r="W151" s="32">
        <v>-6955</v>
      </c>
      <c r="X151" s="32" t="s">
        <v>207</v>
      </c>
    </row>
    <row r="152" spans="2:24" hidden="1" outlineLevel="1" x14ac:dyDescent="0.3">
      <c r="B152" s="30" t="s">
        <v>298</v>
      </c>
      <c r="L152" s="32">
        <v>6934</v>
      </c>
      <c r="M152" s="32">
        <v>501408</v>
      </c>
      <c r="N152" s="32">
        <v>239455</v>
      </c>
      <c r="O152" s="32">
        <v>120771</v>
      </c>
      <c r="P152" s="32">
        <v>16863</v>
      </c>
      <c r="Q152" s="32">
        <v>292809</v>
      </c>
      <c r="R152" s="32">
        <v>98381</v>
      </c>
      <c r="S152" s="32">
        <v>54345</v>
      </c>
      <c r="T152" s="32">
        <v>253945</v>
      </c>
      <c r="U152" s="32">
        <v>103249</v>
      </c>
      <c r="V152" s="32">
        <v>29046</v>
      </c>
      <c r="W152" s="32">
        <v>83949</v>
      </c>
      <c r="X152" s="32">
        <v>247</v>
      </c>
    </row>
    <row r="153" spans="2:24" hidden="1" outlineLevel="1" x14ac:dyDescent="0.3">
      <c r="B153" s="30" t="s">
        <v>666</v>
      </c>
      <c r="L153" s="32">
        <v>1756</v>
      </c>
      <c r="M153" s="32">
        <v>-1192</v>
      </c>
      <c r="N153" s="32">
        <v>294</v>
      </c>
      <c r="O153" s="32">
        <v>1037</v>
      </c>
      <c r="P153" s="32">
        <v>-69</v>
      </c>
      <c r="Q153" s="32">
        <v>-6931</v>
      </c>
      <c r="R153" s="32">
        <v>-4917</v>
      </c>
      <c r="S153" s="32">
        <v>572</v>
      </c>
      <c r="T153" s="32">
        <v>1396</v>
      </c>
      <c r="U153" s="32">
        <v>547</v>
      </c>
      <c r="V153" s="32">
        <v>-2920</v>
      </c>
      <c r="W153" s="32">
        <v>-457</v>
      </c>
      <c r="X153" s="32">
        <v>2308</v>
      </c>
    </row>
    <row r="154" spans="2:24" hidden="1" outlineLevel="1" x14ac:dyDescent="0.3">
      <c r="B154" s="30" t="s">
        <v>475</v>
      </c>
      <c r="L154" s="32">
        <v>55426</v>
      </c>
      <c r="M154" s="32">
        <v>418811</v>
      </c>
      <c r="N154" s="32">
        <v>-14337</v>
      </c>
      <c r="O154" s="32">
        <v>-30570</v>
      </c>
      <c r="P154" s="32">
        <v>-21826</v>
      </c>
      <c r="Q154" s="32">
        <v>20304</v>
      </c>
      <c r="R154" s="32">
        <v>-3470</v>
      </c>
      <c r="S154" s="32">
        <v>25272</v>
      </c>
      <c r="T154" s="32">
        <v>-11728</v>
      </c>
      <c r="U154" s="32">
        <v>-21175</v>
      </c>
      <c r="V154" s="32">
        <v>-12823</v>
      </c>
      <c r="W154" s="32">
        <v>-87591</v>
      </c>
      <c r="X154" s="32">
        <v>-37139</v>
      </c>
    </row>
    <row r="155" spans="2:24" hidden="1" outlineLevel="1" x14ac:dyDescent="0.3">
      <c r="B155" s="30" t="s">
        <v>408</v>
      </c>
      <c r="L155" s="32">
        <v>197372</v>
      </c>
      <c r="M155" s="32">
        <v>197372</v>
      </c>
      <c r="N155" s="32">
        <v>70138</v>
      </c>
      <c r="O155" s="32">
        <v>70138</v>
      </c>
      <c r="P155" s="32">
        <v>70138</v>
      </c>
      <c r="Q155" s="32">
        <v>45776</v>
      </c>
      <c r="R155" s="32">
        <v>45776</v>
      </c>
      <c r="S155" s="32">
        <v>45776</v>
      </c>
      <c r="T155" s="32">
        <v>79957</v>
      </c>
      <c r="U155" s="32">
        <v>79957</v>
      </c>
      <c r="V155" s="32">
        <v>79957</v>
      </c>
      <c r="W155" s="32">
        <v>132587</v>
      </c>
      <c r="X155" s="32">
        <v>132587</v>
      </c>
    </row>
    <row r="156" spans="2:24" hidden="1" outlineLevel="1" x14ac:dyDescent="0.3">
      <c r="B156" s="30" t="s">
        <v>409</v>
      </c>
      <c r="L156" s="32">
        <v>252798</v>
      </c>
      <c r="M156" s="32">
        <v>616183</v>
      </c>
      <c r="N156" s="32">
        <v>55801</v>
      </c>
      <c r="O156" s="32">
        <v>39568</v>
      </c>
      <c r="P156" s="32">
        <v>48312</v>
      </c>
      <c r="Q156" s="32">
        <v>66080</v>
      </c>
      <c r="R156" s="32">
        <v>42306</v>
      </c>
      <c r="S156" s="32">
        <v>71048</v>
      </c>
      <c r="T156" s="32">
        <v>68229</v>
      </c>
      <c r="U156" s="32">
        <v>58782</v>
      </c>
      <c r="V156" s="32">
        <v>67134</v>
      </c>
      <c r="W156" s="32">
        <v>44996</v>
      </c>
      <c r="X156" s="32">
        <v>95448</v>
      </c>
    </row>
    <row r="157" spans="2:24" hidden="1" outlineLevel="1" x14ac:dyDescent="0.3">
      <c r="B157" s="30" t="s">
        <v>667</v>
      </c>
      <c r="L157" s="32">
        <v>12937</v>
      </c>
      <c r="M157" s="32">
        <v>6839</v>
      </c>
      <c r="N157" s="32">
        <v>25822</v>
      </c>
      <c r="O157" s="32">
        <v>15735</v>
      </c>
      <c r="P157" s="32">
        <v>7542</v>
      </c>
      <c r="Q157" s="32">
        <v>26071</v>
      </c>
      <c r="R157" s="32">
        <v>16648</v>
      </c>
      <c r="S157" s="32">
        <v>6578</v>
      </c>
      <c r="T157" s="32">
        <v>24664</v>
      </c>
      <c r="U157" s="32">
        <v>16228</v>
      </c>
      <c r="V157" s="32">
        <v>7205</v>
      </c>
      <c r="W157" s="32">
        <v>3163</v>
      </c>
      <c r="X157" s="32">
        <v>939</v>
      </c>
    </row>
    <row r="158" spans="2:24" hidden="1" outlineLevel="1" x14ac:dyDescent="0.3">
      <c r="B158" s="30" t="s">
        <v>668</v>
      </c>
      <c r="L158" s="32">
        <v>1385</v>
      </c>
      <c r="M158" s="32">
        <v>653</v>
      </c>
      <c r="N158" s="32">
        <v>13975</v>
      </c>
      <c r="O158" s="32">
        <v>12791</v>
      </c>
      <c r="P158" s="32">
        <v>8844</v>
      </c>
      <c r="Q158" s="32">
        <v>20041</v>
      </c>
      <c r="R158" s="32">
        <v>18465</v>
      </c>
      <c r="S158" s="32">
        <v>9930</v>
      </c>
      <c r="T158" s="32">
        <v>4564</v>
      </c>
      <c r="U158" s="32">
        <v>3749</v>
      </c>
      <c r="V158" s="32">
        <v>1980</v>
      </c>
      <c r="W158" s="32">
        <v>-7534</v>
      </c>
      <c r="X158" s="32">
        <v>2772</v>
      </c>
    </row>
    <row r="159" spans="2:24" collapsed="1" x14ac:dyDescent="0.3"/>
  </sheetData>
  <sheetProtection formatCells="0" formatColumns="0" formatRows="0" insertColumns="0" insertRows="0" insertHyperlinks="0" deleteColumns="0" deleteRows="0" sort="0" autoFilter="0" pivotTables="0"/>
  <dataValidations disablePrompts="1" count="1">
    <dataValidation type="list" allowBlank="1" showInputMessage="1" showErrorMessage="1" sqref="G8" xr:uid="{0B93C9D3-7173-4D5E-9126-68B59B54A745}">
      <formula1>"TRUE,FALSE"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46D6452-6E8C-4DBC-BA74-DC085AF1215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GIII!L11:U11</xm:f>
              <xm:sqref>V11</xm:sqref>
            </x14:sparkline>
          </x14:sparklines>
        </x14:sparklineGroup>
        <x14:sparklineGroup displayEmptyCellsAs="gap" xr2:uid="{3297ECF7-CBE3-443E-9307-49E989E08DB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GIII!L12:U12</xm:f>
              <xm:sqref>V12</xm:sqref>
            </x14:sparkline>
            <x14:sparkline>
              <xm:f>GIII!L13:U13</xm:f>
              <xm:sqref>V13</xm:sqref>
            </x14:sparkline>
            <x14:sparkline>
              <xm:f>GIII!L14:U14</xm:f>
              <xm:sqref>V14</xm:sqref>
            </x14:sparkline>
            <x14:sparkline>
              <xm:f>GIII!L15:U15</xm:f>
              <xm:sqref>V15</xm:sqref>
            </x14:sparkline>
            <x14:sparkline>
              <xm:f>GIII!L16:U16</xm:f>
              <xm:sqref>V16</xm:sqref>
            </x14:sparkline>
            <x14:sparkline>
              <xm:f>GIII!L17:U17</xm:f>
              <xm:sqref>V17</xm:sqref>
            </x14:sparkline>
            <x14:sparkline>
              <xm:f>GIII!L18:U18</xm:f>
              <xm:sqref>V18</xm:sqref>
            </x14:sparkline>
            <x14:sparkline>
              <xm:f>GIII!L19:U19</xm:f>
              <xm:sqref>V19</xm:sqref>
            </x14:sparkline>
            <x14:sparkline>
              <xm:f>GIII!L20:U20</xm:f>
              <xm:sqref>V20</xm:sqref>
            </x14:sparkline>
            <x14:sparkline>
              <xm:f>GIII!L21:U21</xm:f>
              <xm:sqref>V21</xm:sqref>
            </x14:sparkline>
            <x14:sparkline>
              <xm:f>GIII!L22:U22</xm:f>
              <xm:sqref>V22</xm:sqref>
            </x14:sparkline>
            <x14:sparkline>
              <xm:f>GIII!L23:U23</xm:f>
              <xm:sqref>V23</xm:sqref>
            </x14:sparkline>
            <x14:sparkline>
              <xm:f>GIII!L24:U24</xm:f>
              <xm:sqref>V24</xm:sqref>
            </x14:sparkline>
            <x14:sparkline>
              <xm:f>GIII!L25:U25</xm:f>
              <xm:sqref>V25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6034-DAC1-4CDB-9BA9-FBE6C41F9E5E}">
  <sheetPr>
    <tabColor theme="4" tint="0.79998168889431442"/>
  </sheetPr>
  <dimension ref="B1:AL169"/>
  <sheetViews>
    <sheetView showGridLines="0" tabSelected="1" zoomScale="93" zoomScaleNormal="93" workbookViewId="0">
      <pane xSplit="3" ySplit="26" topLeftCell="D27" activePane="bottomRight" state="frozen"/>
      <selection activeCell="L99" sqref="L99:X105"/>
      <selection pane="topRight" activeCell="L99" sqref="L99:X105"/>
      <selection pane="bottomLeft" activeCell="L99" sqref="L99:X105"/>
      <selection pane="bottomRight"/>
    </sheetView>
  </sheetViews>
  <sheetFormatPr defaultColWidth="9.109375" defaultRowHeight="14.4" outlineLevelRow="2" outlineLevelCol="1" x14ac:dyDescent="0.3"/>
  <cols>
    <col min="1" max="1" width="2.6640625" style="24" customWidth="1"/>
    <col min="2" max="2" width="50" style="24" customWidth="1"/>
    <col min="3" max="3" width="2.6640625" customWidth="1"/>
    <col min="4" max="7" width="12.6640625" style="32" customWidth="1"/>
    <col min="8" max="10" width="12.6640625" style="32" hidden="1" customWidth="1" outlineLevel="1"/>
    <col min="11" max="11" width="2.6640625" customWidth="1" collapsed="1"/>
    <col min="12" max="24" width="12.6640625" style="32" customWidth="1"/>
    <col min="25" max="26" width="2.6640625" style="24" customWidth="1"/>
    <col min="27" max="193" width="12" style="24" customWidth="1"/>
    <col min="194" max="16384" width="9.109375" style="24"/>
  </cols>
  <sheetData>
    <row r="1" spans="2:38" ht="6.9" customHeight="1" x14ac:dyDescent="0.3"/>
    <row r="3" spans="2:38" x14ac:dyDescent="0.3">
      <c r="Y3" s="32"/>
      <c r="Z3" s="32"/>
      <c r="AA3" s="32"/>
    </row>
    <row r="5" spans="2:38" ht="6.9" customHeight="1" x14ac:dyDescent="0.3">
      <c r="AG5"/>
      <c r="AH5"/>
      <c r="AI5"/>
      <c r="AJ5"/>
      <c r="AK5"/>
      <c r="AL5"/>
    </row>
    <row r="6" spans="2:38" s="36" customFormat="1" ht="22.8" x14ac:dyDescent="0.4">
      <c r="B6" s="37" t="s">
        <v>669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AG6"/>
      <c r="AH6"/>
      <c r="AI6"/>
      <c r="AJ6"/>
      <c r="AK6"/>
      <c r="AL6"/>
    </row>
    <row r="7" spans="2:38" s="58" customFormat="1" ht="6.9" customHeight="1" x14ac:dyDescent="0.3">
      <c r="C7" s="3"/>
      <c r="D7" s="59"/>
      <c r="E7" s="59"/>
      <c r="F7" s="59"/>
      <c r="G7" s="59"/>
      <c r="H7" s="59"/>
      <c r="I7" s="59"/>
      <c r="J7" s="59"/>
      <c r="K7" s="3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AH7" s="221"/>
    </row>
    <row r="8" spans="2:38" s="58" customFormat="1" x14ac:dyDescent="0.3">
      <c r="C8" s="3"/>
      <c r="D8" s="59"/>
      <c r="E8" s="59"/>
      <c r="F8" s="179" t="s">
        <v>411</v>
      </c>
      <c r="G8" s="176" t="b">
        <v>1</v>
      </c>
      <c r="H8" s="59"/>
      <c r="I8" s="59"/>
      <c r="J8" s="59"/>
      <c r="K8" s="3"/>
      <c r="L8" s="214"/>
      <c r="M8" s="214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AH8" s="221"/>
    </row>
    <row r="9" spans="2:38" s="58" customFormat="1" x14ac:dyDescent="0.3">
      <c r="C9" s="3"/>
      <c r="D9" s="59"/>
      <c r="E9" s="59"/>
      <c r="F9" s="179" t="s">
        <v>868</v>
      </c>
      <c r="G9" s="176" t="b">
        <v>1</v>
      </c>
      <c r="H9" s="59"/>
      <c r="I9" s="59"/>
      <c r="J9" s="59"/>
      <c r="K9" s="3"/>
      <c r="L9" s="214"/>
      <c r="M9" s="214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AH9" s="221"/>
    </row>
    <row r="10" spans="2:38" s="58" customFormat="1" ht="6.9" customHeight="1" x14ac:dyDescent="0.3">
      <c r="C10" s="3"/>
      <c r="D10" s="59"/>
      <c r="E10" s="59"/>
      <c r="F10" s="59"/>
      <c r="G10" s="59"/>
      <c r="H10" s="59"/>
      <c r="I10" s="59"/>
      <c r="J10" s="59"/>
      <c r="K10" s="3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AH10" s="221"/>
    </row>
    <row r="11" spans="2:38" s="27" customFormat="1" outlineLevel="1" x14ac:dyDescent="0.3">
      <c r="B11" s="56" t="s">
        <v>183</v>
      </c>
      <c r="C11"/>
      <c r="D11" s="63">
        <f>D25</f>
        <v>44502</v>
      </c>
      <c r="E11" s="63">
        <f t="shared" ref="E11:G11" si="0">E25</f>
        <v>44409</v>
      </c>
      <c r="F11" s="63">
        <f t="shared" si="0"/>
        <v>44318</v>
      </c>
      <c r="G11" s="63">
        <f t="shared" si="0"/>
        <v>44137</v>
      </c>
      <c r="H11" s="209" t="s">
        <v>184</v>
      </c>
      <c r="I11" s="210" t="s">
        <v>185</v>
      </c>
      <c r="J11" s="211" t="s">
        <v>186</v>
      </c>
      <c r="K11"/>
      <c r="L11" s="63">
        <f t="shared" ref="L11:U11" si="1">L25</f>
        <v>44044</v>
      </c>
      <c r="M11" s="63">
        <f t="shared" si="1"/>
        <v>43953</v>
      </c>
      <c r="N11" s="63">
        <f t="shared" si="1"/>
        <v>43771</v>
      </c>
      <c r="O11" s="63">
        <f t="shared" si="1"/>
        <v>43680</v>
      </c>
      <c r="P11" s="63">
        <f t="shared" si="1"/>
        <v>43589</v>
      </c>
      <c r="Q11" s="63">
        <f t="shared" si="1"/>
        <v>43407</v>
      </c>
      <c r="R11" s="63">
        <f t="shared" si="1"/>
        <v>43316</v>
      </c>
      <c r="S11" s="63">
        <f t="shared" si="1"/>
        <v>43225</v>
      </c>
      <c r="T11" s="63">
        <f t="shared" si="1"/>
        <v>43036</v>
      </c>
      <c r="U11" s="63">
        <f t="shared" si="1"/>
        <v>42945</v>
      </c>
      <c r="V11" s="63" t="s">
        <v>187</v>
      </c>
      <c r="W11"/>
      <c r="X11"/>
      <c r="AG11"/>
      <c r="AH11"/>
      <c r="AI11"/>
      <c r="AJ11"/>
      <c r="AK11"/>
      <c r="AL11"/>
    </row>
    <row r="12" spans="2:38" outlineLevel="2" x14ac:dyDescent="0.3">
      <c r="B12" s="30" t="s">
        <v>606</v>
      </c>
      <c r="D12" s="81">
        <f>IF($G$8, AVERAGE($N12:$Q12), AVERAGE($L12:$M12))</f>
        <v>-0.1847695591209586</v>
      </c>
      <c r="E12" s="81">
        <f t="shared" ref="E12:G16" si="2">IF($G$8, AVERAGE($N12:$Q12), AVERAGE($L12:$M12))</f>
        <v>-0.1847695591209586</v>
      </c>
      <c r="F12" s="81">
        <f t="shared" si="2"/>
        <v>-0.1847695591209586</v>
      </c>
      <c r="G12" s="81">
        <f t="shared" si="2"/>
        <v>-0.1847695591209586</v>
      </c>
      <c r="H12" s="188"/>
      <c r="I12" s="188"/>
      <c r="J12" s="188"/>
      <c r="L12" s="60">
        <f t="shared" ref="L12:U12" si="3">IFERROR(L28 / O28 - 1, 0)</f>
        <v>-0.19597470472056611</v>
      </c>
      <c r="M12" s="60">
        <f t="shared" si="3"/>
        <v>-0.4366358586989636</v>
      </c>
      <c r="N12" s="60">
        <f t="shared" si="3"/>
        <v>-0.24654837049430001</v>
      </c>
      <c r="O12" s="60">
        <f t="shared" si="3"/>
        <v>-0.25588170523572695</v>
      </c>
      <c r="P12" s="60">
        <f t="shared" si="3"/>
        <v>-0.2314999868208677</v>
      </c>
      <c r="Q12" s="60">
        <f t="shared" si="3"/>
        <v>-5.1481739329397591E-3</v>
      </c>
      <c r="R12" s="60">
        <f t="shared" si="3"/>
        <v>6.0641745579118389E-2</v>
      </c>
      <c r="S12" s="60">
        <f t="shared" si="3"/>
        <v>2.4729237388243508E-3</v>
      </c>
      <c r="T12" s="60">
        <f t="shared" si="3"/>
        <v>8.3523019827749234E-3</v>
      </c>
      <c r="U12" s="60">
        <f t="shared" si="3"/>
        <v>-4.9764716943616838E-2</v>
      </c>
      <c r="V12"/>
      <c r="W12"/>
      <c r="X12"/>
      <c r="AG12"/>
      <c r="AH12"/>
      <c r="AI12"/>
      <c r="AJ12"/>
      <c r="AK12"/>
      <c r="AL12"/>
    </row>
    <row r="13" spans="2:38" outlineLevel="2" x14ac:dyDescent="0.3">
      <c r="B13" s="30" t="s">
        <v>414</v>
      </c>
      <c r="D13" s="81">
        <f t="shared" ref="D13:G19" si="4">IF($G$8, AVERAGE($N13:$Q13), AVERAGE($L13:$M13))</f>
        <v>0.50819693184379477</v>
      </c>
      <c r="E13" s="81">
        <f t="shared" si="2"/>
        <v>0.50819693184379477</v>
      </c>
      <c r="F13" s="81">
        <f t="shared" si="2"/>
        <v>0.50819693184379477</v>
      </c>
      <c r="G13" s="81">
        <f t="shared" si="2"/>
        <v>0.50819693184379477</v>
      </c>
      <c r="H13" s="188"/>
      <c r="I13" s="188"/>
      <c r="J13" s="188"/>
      <c r="L13" s="60">
        <f>L29 / L$30</f>
        <v>1.3426167664670658</v>
      </c>
      <c r="M13" s="60">
        <f t="shared" ref="M13:U13" si="5">M29 / M28</f>
        <v>0.56973412789365119</v>
      </c>
      <c r="N13" s="60">
        <f t="shared" si="5"/>
        <v>0.50824456551074615</v>
      </c>
      <c r="O13" s="60">
        <f t="shared" si="5"/>
        <v>0.51387972616647448</v>
      </c>
      <c r="P13" s="60">
        <f t="shared" si="5"/>
        <v>0.50588619815152192</v>
      </c>
      <c r="Q13" s="60">
        <f t="shared" si="5"/>
        <v>0.50477723754643655</v>
      </c>
      <c r="R13" s="60">
        <f t="shared" si="5"/>
        <v>0.50841729215222087</v>
      </c>
      <c r="S13" s="60">
        <f t="shared" si="5"/>
        <v>0.50101014172993941</v>
      </c>
      <c r="T13" s="60">
        <f t="shared" si="5"/>
        <v>0.50611293335695817</v>
      </c>
      <c r="U13" s="60">
        <f t="shared" si="5"/>
        <v>0.50283208922540901</v>
      </c>
      <c r="V13"/>
      <c r="W13"/>
      <c r="X13"/>
      <c r="AG13"/>
      <c r="AH13"/>
      <c r="AI13"/>
      <c r="AJ13"/>
      <c r="AK13"/>
      <c r="AL13"/>
    </row>
    <row r="14" spans="2:38" outlineLevel="2" x14ac:dyDescent="0.3">
      <c r="B14" s="30" t="s">
        <v>862</v>
      </c>
      <c r="D14" s="81">
        <f t="shared" ref="D14:F14" si="6">AVERAGE($L14, $N14:$Q14)</f>
        <v>0.46660194129220012</v>
      </c>
      <c r="E14" s="81">
        <f t="shared" si="6"/>
        <v>0.46660194129220012</v>
      </c>
      <c r="F14" s="81">
        <f t="shared" si="6"/>
        <v>0.46660194129220012</v>
      </c>
      <c r="G14" s="81">
        <f>AVERAGE($L14, $N14:$Q14)</f>
        <v>0.46660194129220012</v>
      </c>
      <c r="H14" s="188"/>
      <c r="I14" s="188"/>
      <c r="J14" s="188"/>
      <c r="L14" s="60">
        <f>L31 / L28</f>
        <v>0.4786627370487479</v>
      </c>
      <c r="M14" s="60">
        <f t="shared" ref="M14:U14" si="7">M31 / M28</f>
        <v>0.67700693330277328</v>
      </c>
      <c r="N14" s="60">
        <f t="shared" si="7"/>
        <v>0.44198092926555521</v>
      </c>
      <c r="O14" s="60">
        <f t="shared" si="7"/>
        <v>0.4763848384517842</v>
      </c>
      <c r="P14" s="60">
        <f t="shared" si="7"/>
        <v>0.47726121807481475</v>
      </c>
      <c r="Q14" s="60">
        <f t="shared" si="7"/>
        <v>0.45871998362009847</v>
      </c>
      <c r="R14" s="60">
        <f t="shared" si="7"/>
        <v>0.48791237696745027</v>
      </c>
      <c r="S14" s="60">
        <f t="shared" si="7"/>
        <v>0.499448802171921</v>
      </c>
      <c r="T14" s="60">
        <f t="shared" si="7"/>
        <v>0.45027687130541788</v>
      </c>
      <c r="U14" s="60">
        <f t="shared" si="7"/>
        <v>0.50033414111135988</v>
      </c>
      <c r="V14"/>
      <c r="W14"/>
      <c r="X14"/>
      <c r="AG14"/>
      <c r="AH14"/>
      <c r="AI14"/>
      <c r="AJ14"/>
      <c r="AK14"/>
      <c r="AL14"/>
    </row>
    <row r="15" spans="2:38" outlineLevel="2" x14ac:dyDescent="0.3">
      <c r="B15" s="30" t="s">
        <v>867</v>
      </c>
      <c r="D15" s="81">
        <f t="shared" ref="D15:G15" si="8">AVERAGE($L15:$M15)</f>
        <v>9.2427372998402021E-3</v>
      </c>
      <c r="E15" s="81">
        <f t="shared" si="8"/>
        <v>9.2427372998402021E-3</v>
      </c>
      <c r="F15" s="81">
        <f t="shared" si="8"/>
        <v>9.2427372998402021E-3</v>
      </c>
      <c r="G15" s="81">
        <f t="shared" si="8"/>
        <v>9.2427372998402021E-3</v>
      </c>
      <c r="H15" s="215"/>
      <c r="I15" s="91"/>
      <c r="J15" s="91"/>
      <c r="L15" s="81">
        <f>IFERROR(L36 / AVERAGE(L$99:M$99), 0)</f>
        <v>9.0638830782146223E-3</v>
      </c>
      <c r="M15" s="81">
        <f t="shared" ref="M15:U15" si="9">IFERROR(M36 / AVERAGE(M$99:N$99), 0)</f>
        <v>9.4215915214657803E-3</v>
      </c>
      <c r="N15" s="81">
        <f t="shared" si="9"/>
        <v>0</v>
      </c>
      <c r="O15" s="81">
        <f t="shared" si="9"/>
        <v>0</v>
      </c>
      <c r="P15" s="81">
        <f t="shared" si="9"/>
        <v>0</v>
      </c>
      <c r="Q15" s="81">
        <f t="shared" si="9"/>
        <v>0</v>
      </c>
      <c r="R15" s="81">
        <f t="shared" si="9"/>
        <v>0</v>
      </c>
      <c r="S15" s="81">
        <f t="shared" si="9"/>
        <v>0</v>
      </c>
      <c r="T15" s="81">
        <f t="shared" si="9"/>
        <v>0</v>
      </c>
      <c r="U15" s="81">
        <f t="shared" si="9"/>
        <v>0</v>
      </c>
      <c r="V15"/>
      <c r="W15"/>
      <c r="X15"/>
      <c r="AG15"/>
      <c r="AH15"/>
      <c r="AI15"/>
      <c r="AJ15"/>
      <c r="AK15"/>
      <c r="AL15"/>
    </row>
    <row r="16" spans="2:38" outlineLevel="2" x14ac:dyDescent="0.3">
      <c r="B16" s="30" t="s">
        <v>191</v>
      </c>
      <c r="D16" s="81">
        <f t="shared" si="4"/>
        <v>0.37220724425957424</v>
      </c>
      <c r="E16" s="81">
        <f t="shared" si="2"/>
        <v>0.37220724425957424</v>
      </c>
      <c r="F16" s="81">
        <f t="shared" si="2"/>
        <v>0.37220724425957424</v>
      </c>
      <c r="G16" s="81">
        <f t="shared" si="2"/>
        <v>0.37220724425957424</v>
      </c>
      <c r="H16" s="188"/>
      <c r="I16" s="188"/>
      <c r="J16" s="188"/>
      <c r="L16" s="60">
        <f>L40 / L39</f>
        <v>0.20252844500632111</v>
      </c>
      <c r="M16" s="60">
        <f t="shared" ref="M16:U16" si="10">M40 / M39</f>
        <v>0.14115470494417862</v>
      </c>
      <c r="N16" s="60">
        <f t="shared" si="10"/>
        <v>0.25376479377187117</v>
      </c>
      <c r="O16" s="60">
        <f t="shared" si="10"/>
        <v>0.70716395864106352</v>
      </c>
      <c r="P16" s="60">
        <f t="shared" si="10"/>
        <v>0.30698371893744647</v>
      </c>
      <c r="Q16" s="60">
        <f t="shared" si="10"/>
        <v>0.22091650568791585</v>
      </c>
      <c r="R16" s="60">
        <f t="shared" si="10"/>
        <v>0.35521235521235522</v>
      </c>
      <c r="S16" s="60">
        <f t="shared" si="10"/>
        <v>0.20303867403314918</v>
      </c>
      <c r="T16" s="60">
        <f t="shared" si="10"/>
        <v>-7.1170445091514142E-2</v>
      </c>
      <c r="U16" s="60">
        <f t="shared" si="10"/>
        <v>-0.18901503528689781</v>
      </c>
      <c r="V16"/>
      <c r="W16"/>
      <c r="X16"/>
      <c r="AG16"/>
      <c r="AH16"/>
      <c r="AI16"/>
      <c r="AJ16"/>
      <c r="AK16"/>
      <c r="AL16"/>
    </row>
    <row r="17" spans="2:38" outlineLevel="1" x14ac:dyDescent="0.3">
      <c r="B17" s="30"/>
      <c r="D17" s="61"/>
      <c r="E17" s="61"/>
      <c r="F17" s="61"/>
      <c r="G17" s="61"/>
      <c r="H17" s="61"/>
      <c r="I17" s="61"/>
      <c r="J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/>
      <c r="W17"/>
      <c r="X17"/>
      <c r="AG17"/>
      <c r="AH17"/>
      <c r="AI17"/>
      <c r="AJ17"/>
      <c r="AK17"/>
      <c r="AL17"/>
    </row>
    <row r="18" spans="2:38" outlineLevel="2" x14ac:dyDescent="0.3">
      <c r="B18" s="30" t="s">
        <v>417</v>
      </c>
      <c r="D18" s="81">
        <f t="shared" si="4"/>
        <v>1.1734033452302453</v>
      </c>
      <c r="E18" s="81">
        <f t="shared" si="4"/>
        <v>1.1734033452302453</v>
      </c>
      <c r="F18" s="81">
        <f t="shared" si="4"/>
        <v>1.1734033452302453</v>
      </c>
      <c r="G18" s="81">
        <f t="shared" si="4"/>
        <v>1.1734033452302453</v>
      </c>
      <c r="H18" s="188"/>
      <c r="I18" s="188"/>
      <c r="J18" s="188"/>
      <c r="L18" s="60">
        <f>L65 / L$28</f>
        <v>1.987791941556732</v>
      </c>
      <c r="M18" s="60">
        <f t="shared" ref="M18:U18" si="11">M65 / M$28</f>
        <v>2.6322484528993813</v>
      </c>
      <c r="N18" s="60">
        <f t="shared" si="11"/>
        <v>1.1182493490152867</v>
      </c>
      <c r="O18" s="60">
        <f t="shared" si="11"/>
        <v>1.1803717016768296</v>
      </c>
      <c r="P18" s="60">
        <f t="shared" si="11"/>
        <v>1.2126355036104033</v>
      </c>
      <c r="Q18" s="60">
        <f t="shared" si="11"/>
        <v>1.1823568266184619</v>
      </c>
      <c r="R18" s="60">
        <f t="shared" si="11"/>
        <v>1.1842246120154398</v>
      </c>
      <c r="S18" s="60">
        <f t="shared" si="11"/>
        <v>1.0954122665161661</v>
      </c>
      <c r="T18" s="60">
        <f t="shared" si="11"/>
        <v>1.2211747602750715</v>
      </c>
      <c r="U18" s="60">
        <f t="shared" si="11"/>
        <v>1.357023289311053</v>
      </c>
      <c r="V18"/>
      <c r="W18"/>
      <c r="X18"/>
      <c r="AG18"/>
      <c r="AH18"/>
      <c r="AI18"/>
      <c r="AJ18"/>
      <c r="AK18"/>
      <c r="AL18"/>
    </row>
    <row r="19" spans="2:38" outlineLevel="2" x14ac:dyDescent="0.3">
      <c r="B19" s="30" t="s">
        <v>418</v>
      </c>
      <c r="D19" s="81">
        <f t="shared" si="4"/>
        <v>1.977017687717479</v>
      </c>
      <c r="E19" s="81">
        <f t="shared" si="4"/>
        <v>1.977017687717479</v>
      </c>
      <c r="F19" s="81">
        <f t="shared" si="4"/>
        <v>1.977017687717479</v>
      </c>
      <c r="G19" s="81">
        <f t="shared" si="4"/>
        <v>1.977017687717479</v>
      </c>
      <c r="H19" s="188"/>
      <c r="I19" s="188"/>
      <c r="J19" s="188"/>
      <c r="L19" s="60">
        <f>L85 / L$28</f>
        <v>2.5366228972667342</v>
      </c>
      <c r="M19" s="60">
        <f t="shared" ref="M19:U19" si="12">M85 / M$28</f>
        <v>3.6530913362365345</v>
      </c>
      <c r="N19" s="60">
        <f t="shared" si="12"/>
        <v>2.2050615806411384</v>
      </c>
      <c r="O19" s="60">
        <f t="shared" si="12"/>
        <v>2.4275699638081027</v>
      </c>
      <c r="P19" s="60">
        <f t="shared" si="12"/>
        <v>2.4513801041458607</v>
      </c>
      <c r="Q19" s="60">
        <f t="shared" si="12"/>
        <v>0.82405910227481494</v>
      </c>
      <c r="R19" s="60">
        <f t="shared" si="12"/>
        <v>0.90755201164718335</v>
      </c>
      <c r="S19" s="60">
        <f t="shared" si="12"/>
        <v>0.94723695614760006</v>
      </c>
      <c r="T19" s="60">
        <f t="shared" si="12"/>
        <v>0.86946239949550685</v>
      </c>
      <c r="U19" s="60">
        <f t="shared" si="12"/>
        <v>1.2342134545324781</v>
      </c>
      <c r="V19"/>
      <c r="W19"/>
      <c r="X19"/>
      <c r="AG19"/>
      <c r="AH19"/>
      <c r="AI19"/>
      <c r="AJ19"/>
      <c r="AK19"/>
      <c r="AL19"/>
    </row>
    <row r="20" spans="2:38" outlineLevel="2" x14ac:dyDescent="0.3">
      <c r="B20" s="30" t="s">
        <v>419</v>
      </c>
      <c r="D20" s="81">
        <f>IF($G$8, AVERAGE($N20:$P20), AVERAGE($L20:$M20))</f>
        <v>0.79800846447528073</v>
      </c>
      <c r="E20" s="81">
        <f t="shared" ref="E20:G20" si="13">IF($G$8, AVERAGE($N20:$P20), AVERAGE($L20:$M20))</f>
        <v>0.79800846447528073</v>
      </c>
      <c r="F20" s="81">
        <f t="shared" si="13"/>
        <v>0.79800846447528073</v>
      </c>
      <c r="G20" s="81">
        <f t="shared" si="13"/>
        <v>0.79800846447528073</v>
      </c>
      <c r="H20" s="188"/>
      <c r="I20" s="188"/>
      <c r="J20" s="188"/>
      <c r="L20" s="60">
        <f>L96 / L$28</f>
        <v>1.2546489544166026</v>
      </c>
      <c r="M20" s="60">
        <f t="shared" ref="M20:U20" si="14">M96 / M$28</f>
        <v>1.5400240660096265</v>
      </c>
      <c r="N20" s="60">
        <f t="shared" si="14"/>
        <v>0.834831358198871</v>
      </c>
      <c r="O20" s="60">
        <f t="shared" si="14"/>
        <v>0.82508071759016632</v>
      </c>
      <c r="P20" s="60">
        <f t="shared" si="14"/>
        <v>0.73411331763680487</v>
      </c>
      <c r="Q20" s="60">
        <f t="shared" si="14"/>
        <v>0.52209814197504023</v>
      </c>
      <c r="R20" s="60">
        <f t="shared" si="14"/>
        <v>0.48650082888305712</v>
      </c>
      <c r="S20" s="60">
        <f t="shared" si="14"/>
        <v>0.37367181479752976</v>
      </c>
      <c r="T20" s="60">
        <f t="shared" si="14"/>
        <v>0.52945829769838959</v>
      </c>
      <c r="U20" s="60">
        <f t="shared" si="14"/>
        <v>0.56938943011098031</v>
      </c>
      <c r="V20"/>
      <c r="W20"/>
      <c r="X20"/>
      <c r="AG20"/>
      <c r="AH20"/>
      <c r="AI20"/>
      <c r="AJ20"/>
      <c r="AK20"/>
      <c r="AL20"/>
    </row>
    <row r="21" spans="2:38" customFormat="1" outlineLevel="1" x14ac:dyDescent="0.3">
      <c r="AH21" s="223"/>
    </row>
    <row r="22" spans="2:38" outlineLevel="2" x14ac:dyDescent="0.3">
      <c r="B22" s="30" t="str">
        <f>B113 &amp; " - Trends (reg based)"</f>
        <v>Additional paid-in capital - Trends (reg based)</v>
      </c>
      <c r="D22" s="155">
        <f t="shared" ref="D22:F22" si="15">$I22 + $H22 * D$11</f>
        <v>294010.9026530229</v>
      </c>
      <c r="E22" s="155">
        <f t="shared" si="15"/>
        <v>291098.20049792924</v>
      </c>
      <c r="F22" s="155">
        <f t="shared" si="15"/>
        <v>288248.1370988593</v>
      </c>
      <c r="G22" s="155">
        <f>$I22 + $H22 * G$11</f>
        <v>282579.32967873081</v>
      </c>
      <c r="H22" s="182">
        <f>SLOPE($L22:$U22, $L$11:$U$11)</f>
        <v>31.319378011759518</v>
      </c>
      <c r="I22" s="189">
        <f>INTERCEPT($L22:$U22, $L$11:$U$11)</f>
        <v>-1099764.0576262991</v>
      </c>
      <c r="J22" s="90">
        <f>RSQ($L22:$U22, $L$11:$U$11)</f>
        <v>0.99452418233258755</v>
      </c>
      <c r="L22" s="155">
        <f>L113</f>
        <v>278254</v>
      </c>
      <c r="M22" s="155">
        <f t="shared" ref="M22:U22" si="16">M113</f>
        <v>276307</v>
      </c>
      <c r="N22" s="155">
        <f t="shared" si="16"/>
        <v>271505</v>
      </c>
      <c r="O22" s="155">
        <f t="shared" si="16"/>
        <v>268882</v>
      </c>
      <c r="P22" s="155">
        <f t="shared" si="16"/>
        <v>266455</v>
      </c>
      <c r="Q22" s="155">
        <f t="shared" si="16"/>
        <v>260709</v>
      </c>
      <c r="R22" s="155">
        <f t="shared" si="16"/>
        <v>257295</v>
      </c>
      <c r="S22" s="155">
        <f t="shared" si="16"/>
        <v>254230</v>
      </c>
      <c r="T22" s="155">
        <f t="shared" si="16"/>
        <v>247504</v>
      </c>
      <c r="U22" s="155">
        <f t="shared" si="16"/>
        <v>244083</v>
      </c>
      <c r="V22"/>
      <c r="W22"/>
      <c r="X22"/>
      <c r="AH22" s="219"/>
    </row>
    <row r="23" spans="2:38" outlineLevel="1" x14ac:dyDescent="0.3">
      <c r="AH23" s="219"/>
    </row>
    <row r="24" spans="2:38" s="43" customFormat="1" ht="15.9" customHeight="1" x14ac:dyDescent="0.3">
      <c r="B24" s="40" t="s">
        <v>193</v>
      </c>
      <c r="C24" s="41"/>
      <c r="D24" s="52" t="s">
        <v>194</v>
      </c>
      <c r="E24" s="42"/>
      <c r="F24" s="42"/>
      <c r="G24" s="42"/>
      <c r="H24" s="42"/>
      <c r="I24" s="42"/>
      <c r="J24" s="42"/>
      <c r="K24" s="41"/>
      <c r="L24" s="42" t="s">
        <v>195</v>
      </c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</row>
    <row r="25" spans="2:38" s="48" customFormat="1" ht="15.9" customHeight="1" x14ac:dyDescent="0.3">
      <c r="B25" s="44" t="s">
        <v>196</v>
      </c>
      <c r="C25" s="45"/>
      <c r="D25" s="46">
        <f>EDATE(G25, 12)</f>
        <v>44502</v>
      </c>
      <c r="E25" s="46">
        <f t="shared" ref="E25:F25" si="17">EDATE(L25, 12)</f>
        <v>44409</v>
      </c>
      <c r="F25" s="46">
        <f t="shared" si="17"/>
        <v>44318</v>
      </c>
      <c r="G25" s="46">
        <f>EDATE(N25, 12)</f>
        <v>44137</v>
      </c>
      <c r="H25" s="46"/>
      <c r="I25" s="46"/>
      <c r="J25" s="46"/>
      <c r="K25" s="45"/>
      <c r="L25" s="46">
        <v>44044</v>
      </c>
      <c r="M25" s="46">
        <v>43953</v>
      </c>
      <c r="N25" s="46">
        <v>43771</v>
      </c>
      <c r="O25" s="46">
        <v>43680</v>
      </c>
      <c r="P25" s="46">
        <v>43589</v>
      </c>
      <c r="Q25" s="46">
        <v>43407</v>
      </c>
      <c r="R25" s="46">
        <v>43316</v>
      </c>
      <c r="S25" s="46">
        <v>43225</v>
      </c>
      <c r="T25" s="46">
        <v>43036</v>
      </c>
      <c r="U25" s="46">
        <v>42945</v>
      </c>
      <c r="V25" s="46">
        <v>42854</v>
      </c>
      <c r="W25" s="46">
        <v>42672</v>
      </c>
      <c r="X25" s="46">
        <v>42490</v>
      </c>
    </row>
    <row r="26" spans="2:38" s="48" customFormat="1" ht="15.9" customHeight="1" x14ac:dyDescent="0.3">
      <c r="B26" s="44" t="s">
        <v>197</v>
      </c>
      <c r="C26" s="45"/>
      <c r="D26" s="49" t="str">
        <f>G26</f>
        <v>3rd Quarter</v>
      </c>
      <c r="E26" s="49" t="str">
        <f t="shared" ref="E26:F26" si="18">L26</f>
        <v>2nd Quarter</v>
      </c>
      <c r="F26" s="49" t="str">
        <f t="shared" si="18"/>
        <v>1st Quarter</v>
      </c>
      <c r="G26" s="49" t="str">
        <f>N26</f>
        <v>3rd Quarter</v>
      </c>
      <c r="H26" s="49"/>
      <c r="I26" s="49"/>
      <c r="J26" s="49"/>
      <c r="K26" s="45"/>
      <c r="L26" s="47" t="s">
        <v>198</v>
      </c>
      <c r="M26" s="47" t="s">
        <v>199</v>
      </c>
      <c r="N26" s="47" t="s">
        <v>200</v>
      </c>
      <c r="O26" s="47" t="s">
        <v>198</v>
      </c>
      <c r="P26" s="47" t="s">
        <v>199</v>
      </c>
      <c r="Q26" s="47" t="s">
        <v>200</v>
      </c>
      <c r="R26" s="47" t="s">
        <v>198</v>
      </c>
      <c r="S26" s="47" t="s">
        <v>199</v>
      </c>
      <c r="T26" s="47" t="s">
        <v>200</v>
      </c>
      <c r="U26" s="47" t="s">
        <v>198</v>
      </c>
      <c r="V26" s="47" t="s">
        <v>199</v>
      </c>
      <c r="W26" s="47" t="s">
        <v>200</v>
      </c>
      <c r="X26" s="47" t="s">
        <v>199</v>
      </c>
    </row>
    <row r="27" spans="2:38" s="27" customFormat="1" x14ac:dyDescent="0.3">
      <c r="B27" s="28" t="str">
        <f>GIII!$B$30</f>
        <v xml:space="preserve">Income Statement </v>
      </c>
      <c r="C27"/>
      <c r="D27" s="35"/>
      <c r="E27" s="35"/>
      <c r="F27" s="35"/>
      <c r="G27" s="35"/>
      <c r="H27" s="35"/>
      <c r="I27" s="35"/>
      <c r="J27" s="35"/>
      <c r="K27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</row>
    <row r="28" spans="2:38" x14ac:dyDescent="0.3">
      <c r="B28" s="89" t="s">
        <v>607</v>
      </c>
      <c r="D28" s="192">
        <f>G28 * (1 + D12)</f>
        <v>357065.35069881059</v>
      </c>
      <c r="E28" s="192">
        <f t="shared" ref="E28:F28" si="19">L28 * (1 + E12)</f>
        <v>318932.00738937594</v>
      </c>
      <c r="F28" s="192">
        <f t="shared" si="19"/>
        <v>227638.42646753648</v>
      </c>
      <c r="G28" s="192">
        <f>N28 * (1 + G12)</f>
        <v>437993.15235799644</v>
      </c>
      <c r="L28" s="32">
        <v>391217</v>
      </c>
      <c r="M28" s="32">
        <v>279232</v>
      </c>
      <c r="N28" s="32">
        <v>537263</v>
      </c>
      <c r="O28" s="32">
        <v>486573</v>
      </c>
      <c r="P28" s="32">
        <v>495651</v>
      </c>
      <c r="Q28" s="32">
        <v>713069</v>
      </c>
      <c r="R28" s="32">
        <v>653892</v>
      </c>
      <c r="S28" s="32">
        <v>644959</v>
      </c>
      <c r="T28" s="32">
        <v>716759</v>
      </c>
      <c r="U28" s="32">
        <v>616506</v>
      </c>
      <c r="V28" s="32">
        <v>643368</v>
      </c>
      <c r="W28" s="32">
        <v>710822</v>
      </c>
      <c r="X28" s="32">
        <v>648793</v>
      </c>
    </row>
    <row r="29" spans="2:38" x14ac:dyDescent="0.3">
      <c r="B29" s="89" t="s">
        <v>670</v>
      </c>
      <c r="D29" s="32">
        <f t="shared" ref="D29:F29" si="20">D28 * D13</f>
        <v>181459.51569286414</v>
      </c>
      <c r="E29" s="32">
        <f t="shared" si="20"/>
        <v>162080.26762206334</v>
      </c>
      <c r="F29" s="32">
        <f t="shared" si="20"/>
        <v>115685.14990055133</v>
      </c>
      <c r="G29" s="32">
        <f>G28 * G13</f>
        <v>222586.77619692555</v>
      </c>
      <c r="L29" s="32">
        <v>224217</v>
      </c>
      <c r="M29" s="32">
        <v>159088</v>
      </c>
      <c r="N29" s="32">
        <v>273061</v>
      </c>
      <c r="O29" s="32">
        <v>250040</v>
      </c>
      <c r="P29" s="32">
        <v>250743</v>
      </c>
      <c r="Q29" s="32">
        <v>359941</v>
      </c>
      <c r="R29" s="32">
        <v>332450</v>
      </c>
      <c r="S29" s="32">
        <v>323131</v>
      </c>
      <c r="T29" s="32">
        <v>362761</v>
      </c>
      <c r="U29" s="32">
        <v>309999</v>
      </c>
      <c r="V29" s="32">
        <v>324455</v>
      </c>
      <c r="W29" s="32">
        <v>355187</v>
      </c>
      <c r="X29" s="32">
        <v>319096</v>
      </c>
      <c r="Y29"/>
      <c r="Z29"/>
    </row>
    <row r="30" spans="2:38" s="39" customFormat="1" x14ac:dyDescent="0.3">
      <c r="B30" s="76" t="s">
        <v>671</v>
      </c>
      <c r="C30" s="25"/>
      <c r="D30" s="77">
        <f t="shared" ref="D30:G30" si="21">D28 - D29</f>
        <v>175605.83500594646</v>
      </c>
      <c r="E30" s="77">
        <f t="shared" si="21"/>
        <v>156851.7397673126</v>
      </c>
      <c r="F30" s="77">
        <f t="shared" si="21"/>
        <v>111953.27656698515</v>
      </c>
      <c r="G30" s="77">
        <f t="shared" si="21"/>
        <v>215406.37616107089</v>
      </c>
      <c r="H30" s="77"/>
      <c r="I30" s="77"/>
      <c r="J30" s="77"/>
      <c r="K30" s="25"/>
      <c r="L30" s="77">
        <f>L28 - L29</f>
        <v>167000</v>
      </c>
      <c r="M30" s="77">
        <f t="shared" ref="M30:X30" si="22">M28 - M29</f>
        <v>120144</v>
      </c>
      <c r="N30" s="77">
        <f t="shared" si="22"/>
        <v>264202</v>
      </c>
      <c r="O30" s="77">
        <f t="shared" si="22"/>
        <v>236533</v>
      </c>
      <c r="P30" s="77">
        <f t="shared" si="22"/>
        <v>244908</v>
      </c>
      <c r="Q30" s="77">
        <f t="shared" si="22"/>
        <v>353128</v>
      </c>
      <c r="R30" s="77">
        <f t="shared" si="22"/>
        <v>321442</v>
      </c>
      <c r="S30" s="77">
        <f t="shared" si="22"/>
        <v>321828</v>
      </c>
      <c r="T30" s="77">
        <f t="shared" si="22"/>
        <v>353998</v>
      </c>
      <c r="U30" s="77">
        <f t="shared" si="22"/>
        <v>306507</v>
      </c>
      <c r="V30" s="77">
        <f t="shared" si="22"/>
        <v>318913</v>
      </c>
      <c r="W30" s="77">
        <f t="shared" si="22"/>
        <v>355635</v>
      </c>
      <c r="X30" s="77">
        <f t="shared" si="22"/>
        <v>329697</v>
      </c>
      <c r="Y30"/>
      <c r="Z30"/>
    </row>
    <row r="31" spans="2:38" x14ac:dyDescent="0.3">
      <c r="B31" s="89" t="s">
        <v>672</v>
      </c>
      <c r="D31" s="32">
        <f t="shared" ref="D31:F31" si="23">ROUND($L31, -3)</f>
        <v>187000</v>
      </c>
      <c r="E31" s="32">
        <f t="shared" si="23"/>
        <v>187000</v>
      </c>
      <c r="F31" s="32">
        <f t="shared" si="23"/>
        <v>187000</v>
      </c>
      <c r="G31" s="32">
        <f>ROUND($L31, -3)</f>
        <v>187000</v>
      </c>
      <c r="L31" s="32">
        <v>187261</v>
      </c>
      <c r="M31" s="32">
        <v>189042</v>
      </c>
      <c r="N31" s="32">
        <v>237460</v>
      </c>
      <c r="O31" s="32">
        <v>231796</v>
      </c>
      <c r="P31" s="32">
        <v>236555</v>
      </c>
      <c r="Q31" s="32">
        <v>327099</v>
      </c>
      <c r="R31" s="32">
        <v>319042</v>
      </c>
      <c r="S31" s="32">
        <v>322124</v>
      </c>
      <c r="T31" s="32">
        <v>322740</v>
      </c>
      <c r="U31" s="32">
        <v>308459</v>
      </c>
      <c r="V31" s="32">
        <v>316000</v>
      </c>
      <c r="W31" s="32">
        <v>314698</v>
      </c>
      <c r="X31" s="32">
        <v>308243</v>
      </c>
    </row>
    <row r="32" spans="2:38" s="234" customFormat="1" x14ac:dyDescent="0.3">
      <c r="B32" s="232" t="s">
        <v>673</v>
      </c>
      <c r="C32" s="233"/>
      <c r="D32" s="92">
        <v>0</v>
      </c>
      <c r="E32" s="92">
        <v>0</v>
      </c>
      <c r="F32" s="92">
        <v>0</v>
      </c>
      <c r="G32" s="92">
        <v>0</v>
      </c>
      <c r="H32" s="92"/>
      <c r="I32" s="92"/>
      <c r="J32" s="92"/>
      <c r="K32" s="233"/>
      <c r="L32" s="92">
        <v>0</v>
      </c>
      <c r="M32" s="92">
        <v>79259</v>
      </c>
      <c r="N32" s="92">
        <v>0</v>
      </c>
      <c r="O32" s="92">
        <v>0</v>
      </c>
      <c r="P32" s="92">
        <v>0</v>
      </c>
      <c r="Q32" s="92">
        <v>0</v>
      </c>
      <c r="R32" s="92">
        <v>0</v>
      </c>
      <c r="S32" s="92">
        <v>0</v>
      </c>
      <c r="T32" s="92">
        <v>182211</v>
      </c>
      <c r="U32" s="92">
        <v>0</v>
      </c>
      <c r="V32" s="92">
        <v>0</v>
      </c>
      <c r="W32" s="92">
        <v>0</v>
      </c>
      <c r="X32" s="92">
        <v>0</v>
      </c>
    </row>
    <row r="33" spans="2:26" x14ac:dyDescent="0.3">
      <c r="B33" s="89" t="s">
        <v>674</v>
      </c>
      <c r="D33" s="32">
        <f t="shared" ref="D33:F35" ca="1" si="24">_xlfn.NORM.INV(RAND(), AVERAGE($L33:$P33), _xlfn.STDEV.S($L33:$P33))</f>
        <v>908.35224184600224</v>
      </c>
      <c r="E33" s="32">
        <f t="shared" ca="1" si="24"/>
        <v>-2755.2145090277259</v>
      </c>
      <c r="F33" s="32">
        <f t="shared" ca="1" si="24"/>
        <v>7921.897876661902</v>
      </c>
      <c r="G33" s="32">
        <f ca="1">_xlfn.NORM.INV(RAND(), AVERAGE($L33:$P33), _xlfn.STDEV.S($L33:$P33))</f>
        <v>3477.8560448826702</v>
      </c>
      <c r="L33" s="32">
        <v>1733</v>
      </c>
      <c r="M33" s="32">
        <v>7861</v>
      </c>
      <c r="N33" s="32">
        <v>799</v>
      </c>
      <c r="O33" s="32">
        <v>1775</v>
      </c>
      <c r="P33" s="32">
        <v>-731</v>
      </c>
      <c r="Q33" s="32">
        <v>6558</v>
      </c>
      <c r="R33" s="32">
        <v>1039</v>
      </c>
      <c r="S33" s="32">
        <v>1552</v>
      </c>
      <c r="T33" s="32">
        <v>1446</v>
      </c>
      <c r="U33" s="32">
        <v>58</v>
      </c>
      <c r="V33" s="32">
        <v>119</v>
      </c>
      <c r="W33" s="32">
        <v>589</v>
      </c>
      <c r="X33" s="32">
        <v>3557</v>
      </c>
    </row>
    <row r="34" spans="2:26" s="39" customFormat="1" x14ac:dyDescent="0.3">
      <c r="B34" s="76" t="s">
        <v>675</v>
      </c>
      <c r="C34" s="25"/>
      <c r="D34" s="77">
        <f ca="1">D30 - SUM(D31:D33)</f>
        <v>-12302.517235899548</v>
      </c>
      <c r="E34" s="77">
        <f t="shared" ref="E34:G34" ca="1" si="25">E30 - SUM(E31:E33)</f>
        <v>-27393.045723659685</v>
      </c>
      <c r="F34" s="77">
        <f t="shared" ca="1" si="25"/>
        <v>-82968.621309676761</v>
      </c>
      <c r="G34" s="77">
        <f t="shared" ca="1" si="25"/>
        <v>24928.520116188214</v>
      </c>
      <c r="H34" s="77"/>
      <c r="I34" s="77"/>
      <c r="J34" s="77"/>
      <c r="K34" s="25"/>
      <c r="L34" s="77">
        <f>L30 - SUM(L31:L33)</f>
        <v>-21994</v>
      </c>
      <c r="M34" s="77">
        <f t="shared" ref="M34:X34" si="26">M30 - SUM(M31:M33)</f>
        <v>-156018</v>
      </c>
      <c r="N34" s="77">
        <f t="shared" si="26"/>
        <v>25943</v>
      </c>
      <c r="O34" s="77">
        <f t="shared" si="26"/>
        <v>2962</v>
      </c>
      <c r="P34" s="77">
        <f t="shared" si="26"/>
        <v>9084</v>
      </c>
      <c r="Q34" s="77">
        <f t="shared" si="26"/>
        <v>19471</v>
      </c>
      <c r="R34" s="77">
        <f t="shared" si="26"/>
        <v>1361</v>
      </c>
      <c r="S34" s="77">
        <f t="shared" si="26"/>
        <v>-1848</v>
      </c>
      <c r="T34" s="77">
        <f t="shared" si="26"/>
        <v>-152399</v>
      </c>
      <c r="U34" s="77">
        <f t="shared" si="26"/>
        <v>-2010</v>
      </c>
      <c r="V34" s="77">
        <f t="shared" si="26"/>
        <v>2794</v>
      </c>
      <c r="W34" s="77">
        <f t="shared" si="26"/>
        <v>40348</v>
      </c>
      <c r="X34" s="77">
        <f t="shared" si="26"/>
        <v>17897</v>
      </c>
      <c r="Y34"/>
      <c r="Z34"/>
    </row>
    <row r="35" spans="2:26" x14ac:dyDescent="0.3">
      <c r="B35" s="89" t="s">
        <v>676</v>
      </c>
      <c r="D35" s="32">
        <f t="shared" ca="1" si="24"/>
        <v>159.10729732215881</v>
      </c>
      <c r="E35" s="32">
        <f t="shared" ca="1" si="24"/>
        <v>119.0278666277197</v>
      </c>
      <c r="F35" s="32">
        <f t="shared" ca="1" si="24"/>
        <v>94.803701898189956</v>
      </c>
      <c r="G35" s="32">
        <f ca="1">_xlfn.NORM.INV(RAND(), AVERAGE($L35:$P35), _xlfn.STDEV.S($L35:$P35))</f>
        <v>141.1009849623095</v>
      </c>
      <c r="L35" s="32">
        <v>182</v>
      </c>
      <c r="M35" s="32">
        <v>124</v>
      </c>
      <c r="N35" s="32">
        <v>92</v>
      </c>
      <c r="O35" s="32">
        <v>93</v>
      </c>
      <c r="P35" s="32">
        <v>86</v>
      </c>
      <c r="Q35" s="32">
        <v>2</v>
      </c>
      <c r="R35" s="32">
        <v>1</v>
      </c>
      <c r="S35" s="32">
        <v>-20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</row>
    <row r="36" spans="2:26" x14ac:dyDescent="0.3">
      <c r="B36" s="213" t="s">
        <v>325</v>
      </c>
      <c r="D36" s="32">
        <f t="shared" ref="D36:E36" si="27">D15 * AVERAGE(D$99:E$99)</f>
        <v>0</v>
      </c>
      <c r="E36" s="32">
        <f t="shared" si="27"/>
        <v>0</v>
      </c>
      <c r="F36" s="32">
        <f>F15 * AVERAGE(F$99:G$99)</f>
        <v>0</v>
      </c>
      <c r="G36" s="32">
        <f>G15 * AVERAGE(G$99:L$99)</f>
        <v>974.68824058599864</v>
      </c>
      <c r="L36" s="32">
        <v>1965</v>
      </c>
      <c r="M36" s="32">
        <v>1049</v>
      </c>
      <c r="N36" s="32">
        <v>808</v>
      </c>
      <c r="O36" s="32">
        <v>835</v>
      </c>
      <c r="P36" s="32">
        <v>848</v>
      </c>
      <c r="Q36" s="32">
        <v>984</v>
      </c>
      <c r="R36" s="32">
        <v>1113</v>
      </c>
      <c r="S36" s="32">
        <v>1047</v>
      </c>
      <c r="T36" s="32">
        <v>1454</v>
      </c>
      <c r="U36" s="32">
        <v>1255</v>
      </c>
      <c r="V36" s="32">
        <v>1177</v>
      </c>
      <c r="W36" s="32">
        <v>1489</v>
      </c>
      <c r="X36" s="32">
        <v>1163</v>
      </c>
    </row>
    <row r="37" spans="2:26" x14ac:dyDescent="0.3">
      <c r="B37" s="213" t="s">
        <v>677</v>
      </c>
      <c r="D37" s="32">
        <f t="shared" ref="D37:F37" ca="1" si="28">_xlfn.NORM.INV(RAND(), AVERAGE($L37:$O37), _xlfn.STDEV.S($L37:$O37))</f>
        <v>236.47379346650769</v>
      </c>
      <c r="E37" s="32">
        <f t="shared" ca="1" si="28"/>
        <v>264.3856614565421</v>
      </c>
      <c r="F37" s="32">
        <f t="shared" ca="1" si="28"/>
        <v>269.06607853309725</v>
      </c>
      <c r="G37" s="32">
        <f ca="1">_xlfn.NORM.INV(RAND(), AVERAGE($L37:$O37), _xlfn.STDEV.S($L37:$O37))</f>
        <v>457.19710392232616</v>
      </c>
      <c r="L37" s="32">
        <v>47</v>
      </c>
      <c r="M37" s="32">
        <v>193</v>
      </c>
      <c r="N37" s="32">
        <v>206</v>
      </c>
      <c r="O37" s="32">
        <v>488</v>
      </c>
      <c r="P37" s="32">
        <v>1014</v>
      </c>
      <c r="Q37" s="32">
        <v>147</v>
      </c>
      <c r="R37" s="32">
        <v>10</v>
      </c>
      <c r="S37" s="32">
        <v>19</v>
      </c>
      <c r="T37" s="32">
        <v>-3</v>
      </c>
      <c r="U37" s="32">
        <v>6</v>
      </c>
      <c r="V37" s="32">
        <v>0</v>
      </c>
      <c r="W37" s="32">
        <v>1</v>
      </c>
      <c r="X37" s="32">
        <v>26</v>
      </c>
      <c r="Y37" s="32">
        <f t="shared" ref="Y37" si="29">Y28 - Y36</f>
        <v>0</v>
      </c>
    </row>
    <row r="38" spans="2:26" s="187" customFormat="1" x14ac:dyDescent="0.3">
      <c r="B38" s="184" t="s">
        <v>678</v>
      </c>
      <c r="C38" s="185"/>
      <c r="D38" s="186">
        <f t="shared" ref="D38:F38" ca="1" si="30">D36 + D37</f>
        <v>236.47379346650769</v>
      </c>
      <c r="E38" s="186">
        <f t="shared" ca="1" si="30"/>
        <v>264.3856614565421</v>
      </c>
      <c r="F38" s="186">
        <f t="shared" ca="1" si="30"/>
        <v>269.06607853309725</v>
      </c>
      <c r="G38" s="186">
        <f ca="1">G36 + G37</f>
        <v>1431.8853445083248</v>
      </c>
      <c r="H38" s="186"/>
      <c r="I38" s="186"/>
      <c r="J38" s="186"/>
      <c r="K38" s="185"/>
      <c r="L38" s="186">
        <v>-1918</v>
      </c>
      <c r="M38" s="186">
        <v>-856</v>
      </c>
      <c r="N38" s="186">
        <v>-602</v>
      </c>
      <c r="O38" s="186">
        <v>-347</v>
      </c>
      <c r="P38" s="186">
        <v>166</v>
      </c>
      <c r="Q38" s="186">
        <v>-837</v>
      </c>
      <c r="R38" s="186">
        <v>-1103</v>
      </c>
      <c r="S38" s="186">
        <v>-1028</v>
      </c>
      <c r="T38" s="186">
        <v>-1457</v>
      </c>
      <c r="U38" s="186">
        <v>-1249</v>
      </c>
      <c r="V38" s="186">
        <v>-1177</v>
      </c>
      <c r="W38" s="186">
        <v>-1488</v>
      </c>
      <c r="X38" s="186">
        <v>-1137</v>
      </c>
    </row>
    <row r="39" spans="2:26" s="39" customFormat="1" x14ac:dyDescent="0.3">
      <c r="B39" s="76" t="s">
        <v>679</v>
      </c>
      <c r="C39" s="25"/>
      <c r="D39" s="77">
        <f t="shared" ref="D39:G39" ca="1" si="31">D34 +D35 +D38</f>
        <v>-11906.936145110882</v>
      </c>
      <c r="E39" s="77">
        <f t="shared" ca="1" si="31"/>
        <v>-27009.632195575425</v>
      </c>
      <c r="F39" s="77">
        <f t="shared" ca="1" si="31"/>
        <v>-82604.751529245477</v>
      </c>
      <c r="G39" s="77">
        <f t="shared" ca="1" si="31"/>
        <v>26501.506445658848</v>
      </c>
      <c r="H39" s="77"/>
      <c r="I39" s="77"/>
      <c r="J39" s="77"/>
      <c r="K39" s="25"/>
      <c r="L39" s="77">
        <f t="shared" ref="L39:X39" si="32">L34 +L35 +L38</f>
        <v>-23730</v>
      </c>
      <c r="M39" s="77">
        <f t="shared" si="32"/>
        <v>-156750</v>
      </c>
      <c r="N39" s="77">
        <f t="shared" si="32"/>
        <v>25433</v>
      </c>
      <c r="O39" s="77">
        <f t="shared" si="32"/>
        <v>2708</v>
      </c>
      <c r="P39" s="77">
        <f t="shared" si="32"/>
        <v>9336</v>
      </c>
      <c r="Q39" s="77">
        <f t="shared" si="32"/>
        <v>18636</v>
      </c>
      <c r="R39" s="77">
        <f t="shared" si="32"/>
        <v>259</v>
      </c>
      <c r="S39" s="77">
        <f t="shared" si="32"/>
        <v>-2896</v>
      </c>
      <c r="T39" s="77">
        <f t="shared" si="32"/>
        <v>-153856</v>
      </c>
      <c r="U39" s="77">
        <f t="shared" si="32"/>
        <v>-3259</v>
      </c>
      <c r="V39" s="77">
        <f t="shared" si="32"/>
        <v>1617</v>
      </c>
      <c r="W39" s="77">
        <f t="shared" si="32"/>
        <v>38860</v>
      </c>
      <c r="X39" s="77">
        <f t="shared" si="32"/>
        <v>16760</v>
      </c>
      <c r="Y39"/>
      <c r="Z39"/>
    </row>
    <row r="40" spans="2:26" x14ac:dyDescent="0.3">
      <c r="B40" s="89" t="s">
        <v>680</v>
      </c>
      <c r="D40" s="32">
        <f t="shared" ref="D40:F40" ca="1" si="33">D39 * D16</f>
        <v>-4431.8478901464396</v>
      </c>
      <c r="E40" s="32">
        <f t="shared" ca="1" si="33"/>
        <v>-10053.180767979802</v>
      </c>
      <c r="F40" s="32">
        <f t="shared" ca="1" si="33"/>
        <v>-30746.086929447309</v>
      </c>
      <c r="G40" s="32">
        <f ca="1">G39 * G16</f>
        <v>9864.052682866024</v>
      </c>
      <c r="L40" s="32">
        <v>-4806</v>
      </c>
      <c r="M40" s="32">
        <v>-22126</v>
      </c>
      <c r="N40" s="32">
        <v>6454</v>
      </c>
      <c r="O40" s="32">
        <v>1915</v>
      </c>
      <c r="P40" s="32">
        <v>2866</v>
      </c>
      <c r="Q40" s="32">
        <v>4117</v>
      </c>
      <c r="R40" s="32">
        <v>92</v>
      </c>
      <c r="S40" s="32">
        <v>-588</v>
      </c>
      <c r="T40" s="32">
        <v>10950</v>
      </c>
      <c r="U40" s="32">
        <v>616</v>
      </c>
      <c r="V40" s="32">
        <v>620</v>
      </c>
      <c r="W40" s="32">
        <v>12912</v>
      </c>
      <c r="X40" s="32">
        <v>6196</v>
      </c>
      <c r="Y40"/>
      <c r="Z40"/>
    </row>
    <row r="41" spans="2:26" s="39" customFormat="1" x14ac:dyDescent="0.3">
      <c r="B41" s="76" t="s">
        <v>681</v>
      </c>
      <c r="C41" s="25"/>
      <c r="D41" s="77">
        <f t="shared" ref="D41:G41" ca="1" si="34">D39 - D40</f>
        <v>-7475.0882549644421</v>
      </c>
      <c r="E41" s="77">
        <f t="shared" ca="1" si="34"/>
        <v>-16956.451427595624</v>
      </c>
      <c r="F41" s="77">
        <f t="shared" ca="1" si="34"/>
        <v>-51858.664599798169</v>
      </c>
      <c r="G41" s="77">
        <f t="shared" ca="1" si="34"/>
        <v>16637.453762792822</v>
      </c>
      <c r="H41" s="77"/>
      <c r="I41" s="77"/>
      <c r="J41" s="77"/>
      <c r="K41" s="25"/>
      <c r="L41" s="77">
        <f>L39 - L40</f>
        <v>-18924</v>
      </c>
      <c r="M41" s="77">
        <f t="shared" ref="M41:X41" si="35">M39 - M40</f>
        <v>-134624</v>
      </c>
      <c r="N41" s="77">
        <f t="shared" si="35"/>
        <v>18979</v>
      </c>
      <c r="O41" s="77">
        <f t="shared" si="35"/>
        <v>793</v>
      </c>
      <c r="P41" s="77">
        <f t="shared" si="35"/>
        <v>6470</v>
      </c>
      <c r="Q41" s="77">
        <f t="shared" si="35"/>
        <v>14519</v>
      </c>
      <c r="R41" s="77">
        <f t="shared" si="35"/>
        <v>167</v>
      </c>
      <c r="S41" s="77">
        <f t="shared" si="35"/>
        <v>-2308</v>
      </c>
      <c r="T41" s="77">
        <f t="shared" si="35"/>
        <v>-164806</v>
      </c>
      <c r="U41" s="77">
        <f t="shared" si="35"/>
        <v>-3875</v>
      </c>
      <c r="V41" s="77">
        <f t="shared" si="35"/>
        <v>997</v>
      </c>
      <c r="W41" s="77">
        <f t="shared" si="35"/>
        <v>25948</v>
      </c>
      <c r="X41" s="77">
        <f t="shared" si="35"/>
        <v>10564</v>
      </c>
      <c r="Y41"/>
      <c r="Z41"/>
    </row>
    <row r="42" spans="2:26" x14ac:dyDescent="0.3">
      <c r="B42" s="89" t="s">
        <v>682</v>
      </c>
      <c r="D42" s="32">
        <f t="shared" ref="D42:F42" ca="1" si="36">_xlfn.NORM.INV(RAND(), AVERAGE($L42:$O42), _xlfn.STDEV.S($L42:$O42))</f>
        <v>-237.06319993835803</v>
      </c>
      <c r="E42" s="32">
        <f t="shared" ca="1" si="36"/>
        <v>-151.57367375729928</v>
      </c>
      <c r="F42" s="32">
        <f t="shared" ca="1" si="36"/>
        <v>-177.27374848569207</v>
      </c>
      <c r="G42" s="32">
        <f ca="1">_xlfn.NORM.INV(RAND(), AVERAGE($L42:$O42), _xlfn.STDEV.S($L42:$O42))</f>
        <v>-114.55704447346567</v>
      </c>
      <c r="L42" s="32">
        <v>-112</v>
      </c>
      <c r="M42" s="32">
        <v>-153</v>
      </c>
      <c r="N42" s="32">
        <v>-80</v>
      </c>
      <c r="O42" s="32">
        <v>-216</v>
      </c>
      <c r="P42" s="32">
        <v>-124</v>
      </c>
      <c r="Q42" s="32">
        <v>-132</v>
      </c>
      <c r="R42" s="32">
        <v>-182</v>
      </c>
      <c r="S42" s="32">
        <v>-23</v>
      </c>
      <c r="T42" s="32">
        <v>-15</v>
      </c>
      <c r="U42" s="32">
        <v>-73</v>
      </c>
      <c r="V42" s="32">
        <v>-112</v>
      </c>
      <c r="W42" s="32">
        <v>-53</v>
      </c>
      <c r="X42" s="32">
        <v>-154</v>
      </c>
      <c r="Y42"/>
      <c r="Z42"/>
    </row>
    <row r="43" spans="2:26" s="39" customFormat="1" x14ac:dyDescent="0.3">
      <c r="B43" s="76" t="s">
        <v>330</v>
      </c>
      <c r="C43" s="25"/>
      <c r="D43" s="77">
        <f t="shared" ref="D43:G43" ca="1" si="37">D41 + D42</f>
        <v>-7712.1514549027997</v>
      </c>
      <c r="E43" s="77">
        <f t="shared" ca="1" si="37"/>
        <v>-17108.025101352923</v>
      </c>
      <c r="F43" s="77">
        <f t="shared" ca="1" si="37"/>
        <v>-52035.93834828386</v>
      </c>
      <c r="G43" s="77">
        <f t="shared" ca="1" si="37"/>
        <v>16522.896718319356</v>
      </c>
      <c r="H43" s="77"/>
      <c r="I43" s="77"/>
      <c r="J43" s="77"/>
      <c r="K43" s="25"/>
      <c r="L43" s="77">
        <f>L41 + L42</f>
        <v>-19036</v>
      </c>
      <c r="M43" s="77">
        <f t="shared" ref="M43:X43" si="38">M41 + M42</f>
        <v>-134777</v>
      </c>
      <c r="N43" s="77">
        <f t="shared" si="38"/>
        <v>18899</v>
      </c>
      <c r="O43" s="77">
        <f t="shared" si="38"/>
        <v>577</v>
      </c>
      <c r="P43" s="77">
        <f t="shared" si="38"/>
        <v>6346</v>
      </c>
      <c r="Q43" s="77">
        <f t="shared" si="38"/>
        <v>14387</v>
      </c>
      <c r="R43" s="77">
        <f t="shared" si="38"/>
        <v>-15</v>
      </c>
      <c r="S43" s="77">
        <f t="shared" si="38"/>
        <v>-2331</v>
      </c>
      <c r="T43" s="77">
        <f t="shared" si="38"/>
        <v>-164821</v>
      </c>
      <c r="U43" s="77">
        <f t="shared" si="38"/>
        <v>-3948</v>
      </c>
      <c r="V43" s="77">
        <f t="shared" si="38"/>
        <v>885</v>
      </c>
      <c r="W43" s="77">
        <f t="shared" si="38"/>
        <v>25895</v>
      </c>
      <c r="X43" s="77">
        <f t="shared" si="38"/>
        <v>10410</v>
      </c>
      <c r="Y43"/>
      <c r="Z43"/>
    </row>
    <row r="44" spans="2:26" hidden="1" outlineLevel="1" x14ac:dyDescent="0.3">
      <c r="B44" s="89" t="s">
        <v>427</v>
      </c>
      <c r="L44" s="32">
        <v>14179</v>
      </c>
      <c r="M44" s="32">
        <v>14110</v>
      </c>
      <c r="N44" s="32">
        <v>14465</v>
      </c>
      <c r="O44" s="32">
        <v>15959</v>
      </c>
      <c r="P44" s="32">
        <v>17645</v>
      </c>
      <c r="Q44" s="32">
        <v>19462</v>
      </c>
      <c r="R44" s="32">
        <v>19342</v>
      </c>
      <c r="S44" s="32">
        <v>19278</v>
      </c>
      <c r="T44" s="32">
        <v>19265</v>
      </c>
      <c r="U44" s="32">
        <v>19152</v>
      </c>
      <c r="V44" s="32">
        <v>19189</v>
      </c>
      <c r="W44" s="32">
        <v>19912</v>
      </c>
      <c r="X44" s="32">
        <v>20815</v>
      </c>
    </row>
    <row r="45" spans="2:26" hidden="1" outlineLevel="1" x14ac:dyDescent="0.3">
      <c r="B45" s="89" t="s">
        <v>428</v>
      </c>
      <c r="L45" s="32">
        <v>14179</v>
      </c>
      <c r="M45" s="32">
        <v>14110</v>
      </c>
      <c r="N45" s="32">
        <v>14529</v>
      </c>
      <c r="O45" s="32">
        <v>16028</v>
      </c>
      <c r="P45" s="32">
        <v>17850</v>
      </c>
      <c r="Q45" s="32">
        <v>19637</v>
      </c>
      <c r="R45" s="32">
        <v>19442</v>
      </c>
      <c r="S45" s="32">
        <v>19278</v>
      </c>
      <c r="T45" s="32">
        <v>19265</v>
      </c>
      <c r="U45" s="32">
        <v>19152</v>
      </c>
      <c r="V45" s="32">
        <v>19293</v>
      </c>
      <c r="W45" s="32">
        <v>19962</v>
      </c>
      <c r="X45" s="32">
        <v>20990</v>
      </c>
    </row>
    <row r="46" spans="2:26" hidden="1" outlineLevel="1" x14ac:dyDescent="0.3">
      <c r="B46" s="89" t="s">
        <v>220</v>
      </c>
      <c r="L46" s="32">
        <v>14993.754999999999</v>
      </c>
      <c r="M46" s="32">
        <v>14681.968999999999</v>
      </c>
      <c r="N46" s="32">
        <v>14700.187</v>
      </c>
      <c r="O46" s="32">
        <v>15856.61</v>
      </c>
      <c r="P46" s="32">
        <v>17752.526999999998</v>
      </c>
      <c r="Q46" s="32">
        <v>20681.008000000002</v>
      </c>
      <c r="R46" s="32">
        <v>20195.378000000001</v>
      </c>
      <c r="S46" s="32">
        <v>19915.766</v>
      </c>
      <c r="T46" s="32">
        <v>19913.201000000001</v>
      </c>
      <c r="U46" s="32">
        <v>19919.019</v>
      </c>
      <c r="V46" s="32">
        <v>19593.780999999999</v>
      </c>
      <c r="W46" s="32">
        <v>19870.665000000001</v>
      </c>
      <c r="X46" s="32">
        <v>20737.592000000001</v>
      </c>
    </row>
    <row r="47" spans="2:26" hidden="1" outlineLevel="1" x14ac:dyDescent="0.3">
      <c r="B47" s="89" t="s">
        <v>837</v>
      </c>
      <c r="L47" s="32">
        <v>-1.33</v>
      </c>
      <c r="M47" s="32">
        <v>-9.5399999999999991</v>
      </c>
      <c r="N47" s="32">
        <v>1.31</v>
      </c>
      <c r="O47" s="32">
        <v>0.05</v>
      </c>
      <c r="P47" s="32">
        <v>0.37</v>
      </c>
      <c r="Q47" s="32">
        <v>0.75</v>
      </c>
      <c r="R47" s="32">
        <v>0.01</v>
      </c>
      <c r="S47" s="32">
        <v>-0.12</v>
      </c>
      <c r="T47" s="32">
        <v>-8.5500000000000007</v>
      </c>
      <c r="U47" s="32">
        <v>-0.2</v>
      </c>
      <c r="V47" s="32">
        <v>0.05</v>
      </c>
      <c r="W47" s="32">
        <v>1.3</v>
      </c>
      <c r="X47" s="32">
        <v>0.51</v>
      </c>
    </row>
    <row r="48" spans="2:26" hidden="1" outlineLevel="1" x14ac:dyDescent="0.3">
      <c r="B48" s="89" t="s">
        <v>838</v>
      </c>
      <c r="L48" s="31">
        <v>-0.01</v>
      </c>
      <c r="M48" s="31">
        <v>-0.01</v>
      </c>
      <c r="N48" s="31">
        <v>0</v>
      </c>
      <c r="O48" s="31">
        <v>-0.01</v>
      </c>
      <c r="P48" s="31">
        <v>-0.01</v>
      </c>
      <c r="Q48" s="31">
        <v>-0.01</v>
      </c>
      <c r="R48" s="31">
        <v>-0.01</v>
      </c>
      <c r="S48" s="31">
        <v>0</v>
      </c>
      <c r="T48" s="31">
        <v>-0.01</v>
      </c>
      <c r="U48" s="31">
        <v>-0.01</v>
      </c>
      <c r="V48" s="31">
        <v>0</v>
      </c>
      <c r="W48" s="31">
        <v>0</v>
      </c>
      <c r="X48" s="31">
        <v>-0.01</v>
      </c>
    </row>
    <row r="49" spans="2:24" hidden="1" outlineLevel="1" x14ac:dyDescent="0.3">
      <c r="B49" s="89" t="s">
        <v>429</v>
      </c>
      <c r="L49" s="31">
        <v>-1.34</v>
      </c>
      <c r="M49" s="31">
        <v>-9.5500000000000007</v>
      </c>
      <c r="N49" s="31">
        <v>1.31</v>
      </c>
      <c r="O49" s="31">
        <v>0.04</v>
      </c>
      <c r="P49" s="31">
        <v>0.36</v>
      </c>
      <c r="Q49" s="31">
        <v>0.74</v>
      </c>
      <c r="R49" s="31">
        <v>0</v>
      </c>
      <c r="S49" s="31">
        <v>-0.12</v>
      </c>
      <c r="T49" s="31">
        <v>-8.56</v>
      </c>
      <c r="U49" s="31">
        <v>-0.21</v>
      </c>
      <c r="V49" s="31">
        <v>0.05</v>
      </c>
      <c r="W49" s="31">
        <v>1.3</v>
      </c>
      <c r="X49" s="31">
        <v>0.5</v>
      </c>
    </row>
    <row r="50" spans="2:24" hidden="1" outlineLevel="1" x14ac:dyDescent="0.3">
      <c r="B50" s="89" t="s">
        <v>839</v>
      </c>
      <c r="L50" s="32">
        <v>-1.33</v>
      </c>
      <c r="M50" s="32">
        <v>-9.5399999999999991</v>
      </c>
      <c r="N50" s="32">
        <v>1.31</v>
      </c>
      <c r="O50" s="32">
        <v>0.05</v>
      </c>
      <c r="P50" s="32">
        <v>0.36</v>
      </c>
      <c r="Q50" s="32">
        <v>0.74</v>
      </c>
      <c r="R50" s="32">
        <v>0.01</v>
      </c>
      <c r="S50" s="32">
        <v>-0.12</v>
      </c>
      <c r="T50" s="32">
        <v>-8.5500000000000007</v>
      </c>
      <c r="U50" s="32">
        <v>-0.2</v>
      </c>
      <c r="V50" s="32">
        <v>0.05</v>
      </c>
      <c r="W50" s="32">
        <v>1.3</v>
      </c>
      <c r="X50" s="32">
        <v>0.5</v>
      </c>
    </row>
    <row r="51" spans="2:24" hidden="1" outlineLevel="1" x14ac:dyDescent="0.3">
      <c r="B51" s="89" t="s">
        <v>840</v>
      </c>
      <c r="L51" s="32">
        <v>-0.01</v>
      </c>
      <c r="M51" s="32">
        <v>-0.01</v>
      </c>
      <c r="N51" s="32">
        <v>-0.01</v>
      </c>
      <c r="O51" s="32">
        <v>-0.01</v>
      </c>
      <c r="P51" s="32">
        <v>0</v>
      </c>
      <c r="Q51" s="32">
        <v>-0.01</v>
      </c>
      <c r="R51" s="32">
        <v>-0.01</v>
      </c>
      <c r="S51" s="32">
        <v>0</v>
      </c>
      <c r="T51" s="32">
        <v>-0.01</v>
      </c>
      <c r="U51" s="32">
        <v>-0.01</v>
      </c>
      <c r="V51" s="32">
        <v>0</v>
      </c>
      <c r="W51" s="32">
        <v>0</v>
      </c>
      <c r="X51" s="32">
        <v>0</v>
      </c>
    </row>
    <row r="52" spans="2:24" hidden="1" outlineLevel="1" x14ac:dyDescent="0.3">
      <c r="B52" s="89" t="s">
        <v>430</v>
      </c>
      <c r="L52" s="32">
        <v>-1.34</v>
      </c>
      <c r="M52" s="32">
        <v>-9.5500000000000007</v>
      </c>
      <c r="N52" s="32">
        <v>1.3</v>
      </c>
      <c r="O52" s="32">
        <v>0.04</v>
      </c>
      <c r="P52" s="32">
        <v>0.36</v>
      </c>
      <c r="Q52" s="32">
        <v>0.73</v>
      </c>
      <c r="R52" s="32">
        <v>0</v>
      </c>
      <c r="S52" s="32">
        <v>-0.12</v>
      </c>
      <c r="T52" s="32">
        <v>-8.56</v>
      </c>
      <c r="U52" s="32">
        <v>-0.21</v>
      </c>
      <c r="V52" s="32">
        <v>0.05</v>
      </c>
      <c r="W52" s="32">
        <v>1.3</v>
      </c>
      <c r="X52" s="32">
        <v>0.5</v>
      </c>
    </row>
    <row r="53" spans="2:24" collapsed="1" x14ac:dyDescent="0.3"/>
    <row r="54" spans="2:24" s="64" customFormat="1" x14ac:dyDescent="0.3">
      <c r="B54" s="56" t="s">
        <v>223</v>
      </c>
      <c r="C54" s="3"/>
      <c r="D54" s="57"/>
      <c r="E54" s="57"/>
      <c r="F54" s="57"/>
      <c r="G54" s="57"/>
      <c r="H54" s="57"/>
      <c r="I54" s="57"/>
      <c r="J54" s="57"/>
      <c r="K54" s="3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</row>
    <row r="55" spans="2:24" hidden="1" outlineLevel="1" x14ac:dyDescent="0.3">
      <c r="B55" s="213" t="s">
        <v>225</v>
      </c>
      <c r="L55" s="32">
        <v>299144</v>
      </c>
      <c r="M55" s="32">
        <v>238574</v>
      </c>
      <c r="N55" s="32">
        <v>55826</v>
      </c>
      <c r="O55" s="32">
        <v>57965</v>
      </c>
      <c r="P55" s="32">
        <v>156655</v>
      </c>
      <c r="Q55" s="32">
        <v>53423</v>
      </c>
      <c r="R55" s="32">
        <v>49786</v>
      </c>
      <c r="S55" s="32">
        <v>30880</v>
      </c>
      <c r="T55" s="32">
        <v>50740</v>
      </c>
      <c r="U55" s="32">
        <v>43520</v>
      </c>
      <c r="V55" s="32">
        <v>43371</v>
      </c>
      <c r="W55" s="32">
        <v>30520</v>
      </c>
      <c r="X55" s="32">
        <v>42750</v>
      </c>
    </row>
    <row r="56" spans="2:24" hidden="1" outlineLevel="1" x14ac:dyDescent="0.3">
      <c r="B56" s="213" t="s">
        <v>334</v>
      </c>
      <c r="L56" s="32">
        <v>60278</v>
      </c>
      <c r="M56" s="32">
        <v>60349</v>
      </c>
      <c r="N56" s="32">
        <v>37306</v>
      </c>
      <c r="O56" s="32">
        <v>29088</v>
      </c>
      <c r="P56" s="32">
        <v>36149</v>
      </c>
      <c r="Q56" s="32">
        <v>51581</v>
      </c>
      <c r="R56" s="32">
        <v>42823</v>
      </c>
      <c r="S56" s="32">
        <v>57005</v>
      </c>
      <c r="T56" s="32">
        <v>57053</v>
      </c>
      <c r="U56" s="32">
        <v>42880</v>
      </c>
      <c r="V56" s="32">
        <v>58078</v>
      </c>
      <c r="W56" s="32">
        <v>58840</v>
      </c>
      <c r="X56" s="32">
        <v>56125</v>
      </c>
    </row>
    <row r="57" spans="2:24" hidden="1" outlineLevel="1" x14ac:dyDescent="0.3">
      <c r="B57" s="213" t="s">
        <v>683</v>
      </c>
      <c r="L57" s="32">
        <v>5485</v>
      </c>
      <c r="M57" s="32">
        <v>5090</v>
      </c>
      <c r="N57" s="32">
        <v>2457</v>
      </c>
      <c r="O57" s="32">
        <v>2462</v>
      </c>
      <c r="P57" s="32">
        <v>2874</v>
      </c>
      <c r="Q57" s="32">
        <v>3217</v>
      </c>
      <c r="R57" s="32">
        <v>4340</v>
      </c>
      <c r="S57" s="32">
        <v>5584</v>
      </c>
      <c r="T57" s="32">
        <v>4349</v>
      </c>
      <c r="U57" s="32">
        <v>3469</v>
      </c>
      <c r="V57" s="32">
        <v>3764</v>
      </c>
      <c r="W57" s="32">
        <v>3731</v>
      </c>
      <c r="X57" s="32">
        <v>3312</v>
      </c>
    </row>
    <row r="58" spans="2:24" hidden="1" outlineLevel="1" x14ac:dyDescent="0.3">
      <c r="B58" s="213" t="s">
        <v>336</v>
      </c>
      <c r="L58" s="32">
        <v>54793</v>
      </c>
      <c r="M58" s="32">
        <v>55259</v>
      </c>
      <c r="N58" s="32">
        <v>34849</v>
      </c>
      <c r="O58" s="32">
        <v>26626</v>
      </c>
      <c r="P58" s="32">
        <v>33275</v>
      </c>
      <c r="Q58" s="32">
        <v>48364</v>
      </c>
      <c r="R58" s="32">
        <v>38483</v>
      </c>
      <c r="S58" s="32">
        <v>51421</v>
      </c>
      <c r="T58" s="32">
        <v>52704</v>
      </c>
      <c r="U58" s="32">
        <v>39411</v>
      </c>
      <c r="V58" s="32">
        <v>54314</v>
      </c>
      <c r="W58" s="32">
        <v>55109</v>
      </c>
      <c r="X58" s="32">
        <v>52813</v>
      </c>
    </row>
    <row r="59" spans="2:24" hidden="1" outlineLevel="1" x14ac:dyDescent="0.3">
      <c r="B59" s="213" t="s">
        <v>684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422</v>
      </c>
      <c r="X59" s="32">
        <v>396</v>
      </c>
    </row>
    <row r="60" spans="2:24" hidden="1" outlineLevel="1" x14ac:dyDescent="0.3">
      <c r="B60" s="213" t="s">
        <v>685</v>
      </c>
      <c r="L60" s="32">
        <v>41911</v>
      </c>
      <c r="M60" s="32">
        <v>30074</v>
      </c>
      <c r="N60" s="32">
        <v>29721</v>
      </c>
      <c r="O60" s="32">
        <v>44901</v>
      </c>
      <c r="P60" s="32">
        <v>30302</v>
      </c>
      <c r="Q60" s="32">
        <v>39242</v>
      </c>
      <c r="R60" s="32">
        <v>49824</v>
      </c>
      <c r="S60" s="32">
        <v>33741</v>
      </c>
      <c r="T60" s="32">
        <v>40095</v>
      </c>
      <c r="U60" s="32">
        <v>55442</v>
      </c>
      <c r="V60" s="32">
        <v>38573</v>
      </c>
      <c r="W60" s="32">
        <v>58069</v>
      </c>
      <c r="X60" s="32">
        <v>45728</v>
      </c>
    </row>
    <row r="61" spans="2:24" hidden="1" outlineLevel="1" x14ac:dyDescent="0.3">
      <c r="B61" s="213" t="s">
        <v>686</v>
      </c>
      <c r="L61" s="32">
        <v>323356</v>
      </c>
      <c r="M61" s="32">
        <v>361729</v>
      </c>
      <c r="N61" s="32">
        <v>444219</v>
      </c>
      <c r="O61" s="32">
        <v>399805</v>
      </c>
      <c r="P61" s="32">
        <v>337696</v>
      </c>
      <c r="Q61" s="32">
        <v>626924</v>
      </c>
      <c r="R61" s="32">
        <v>556924</v>
      </c>
      <c r="S61" s="32">
        <v>518734</v>
      </c>
      <c r="T61" s="32">
        <v>657854</v>
      </c>
      <c r="U61" s="32">
        <v>614662</v>
      </c>
      <c r="V61" s="32">
        <v>539529</v>
      </c>
      <c r="W61" s="32">
        <v>661484</v>
      </c>
      <c r="X61" s="32">
        <v>505158</v>
      </c>
    </row>
    <row r="62" spans="2:24" hidden="1" outlineLevel="1" x14ac:dyDescent="0.3">
      <c r="B62" s="213" t="s">
        <v>574</v>
      </c>
      <c r="L62" s="32">
        <v>365267</v>
      </c>
      <c r="M62" s="32">
        <v>391803</v>
      </c>
      <c r="N62" s="32">
        <v>473940</v>
      </c>
      <c r="O62" s="32">
        <v>444706</v>
      </c>
      <c r="P62" s="32">
        <v>367998</v>
      </c>
      <c r="Q62" s="32">
        <v>666166</v>
      </c>
      <c r="R62" s="32">
        <v>606748</v>
      </c>
      <c r="S62" s="32">
        <v>552475</v>
      </c>
      <c r="T62" s="32">
        <v>697949</v>
      </c>
      <c r="U62" s="32">
        <v>670104</v>
      </c>
      <c r="V62" s="32">
        <v>578102</v>
      </c>
      <c r="W62" s="32">
        <v>719975</v>
      </c>
      <c r="X62" s="32">
        <v>551282</v>
      </c>
    </row>
    <row r="63" spans="2:24" hidden="1" outlineLevel="1" x14ac:dyDescent="0.3">
      <c r="B63" s="213" t="s">
        <v>376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23879</v>
      </c>
      <c r="X63" s="32">
        <v>28579</v>
      </c>
    </row>
    <row r="64" spans="2:24" hidden="1" outlineLevel="1" x14ac:dyDescent="0.3">
      <c r="B64" s="213" t="s">
        <v>687</v>
      </c>
      <c r="L64" s="32">
        <v>58454</v>
      </c>
      <c r="M64" s="32">
        <v>49372</v>
      </c>
      <c r="N64" s="32">
        <v>36179</v>
      </c>
      <c r="O64" s="32">
        <v>45040</v>
      </c>
      <c r="P64" s="32">
        <v>43116</v>
      </c>
      <c r="Q64" s="32">
        <v>75149</v>
      </c>
      <c r="R64" s="32">
        <v>79338</v>
      </c>
      <c r="S64" s="32">
        <v>71720</v>
      </c>
      <c r="T64" s="32">
        <v>73895</v>
      </c>
      <c r="U64" s="32">
        <v>83578</v>
      </c>
      <c r="V64" s="32">
        <v>63899</v>
      </c>
      <c r="W64" s="32">
        <v>65090</v>
      </c>
      <c r="X64" s="32">
        <v>59966</v>
      </c>
    </row>
    <row r="65" spans="2:34" s="187" customFormat="1" collapsed="1" x14ac:dyDescent="0.3">
      <c r="B65" s="208" t="s">
        <v>437</v>
      </c>
      <c r="C65" s="185"/>
      <c r="D65" s="204">
        <f t="shared" ref="D65:F65" si="39">D$28 * D18</f>
        <v>418981.67697579507</v>
      </c>
      <c r="E65" s="204">
        <f t="shared" si="39"/>
        <v>374235.88437169103</v>
      </c>
      <c r="F65" s="204">
        <f t="shared" si="39"/>
        <v>267111.69111995649</v>
      </c>
      <c r="G65" s="204">
        <f>G$28 * G18</f>
        <v>513942.63016481348</v>
      </c>
      <c r="H65" s="205"/>
      <c r="I65" s="206"/>
      <c r="J65" s="207"/>
      <c r="K65" s="185"/>
      <c r="L65" s="204">
        <v>777658</v>
      </c>
      <c r="M65" s="204">
        <v>735008</v>
      </c>
      <c r="N65" s="204">
        <v>600794</v>
      </c>
      <c r="O65" s="204">
        <v>574337</v>
      </c>
      <c r="P65" s="204">
        <v>601044</v>
      </c>
      <c r="Q65" s="204">
        <v>843102</v>
      </c>
      <c r="R65" s="204">
        <v>774355</v>
      </c>
      <c r="S65" s="204">
        <v>706496</v>
      </c>
      <c r="T65" s="204">
        <v>875288</v>
      </c>
      <c r="U65" s="204">
        <v>836613</v>
      </c>
      <c r="V65" s="204">
        <v>739686</v>
      </c>
      <c r="W65" s="204">
        <v>894573</v>
      </c>
      <c r="X65" s="204">
        <v>735390</v>
      </c>
      <c r="Y65" s="204"/>
      <c r="AH65" s="228"/>
    </row>
    <row r="66" spans="2:34" hidden="1" outlineLevel="1" x14ac:dyDescent="0.3">
      <c r="B66" s="213" t="s">
        <v>522</v>
      </c>
      <c r="L66" s="32">
        <v>0</v>
      </c>
      <c r="M66" s="32">
        <v>0</v>
      </c>
      <c r="N66" s="32">
        <v>7943</v>
      </c>
      <c r="O66" s="32">
        <v>7785</v>
      </c>
      <c r="P66" s="32">
        <v>7970</v>
      </c>
      <c r="Q66" s="32">
        <v>7951</v>
      </c>
      <c r="R66" s="32">
        <v>7955</v>
      </c>
      <c r="S66" s="32">
        <v>7954</v>
      </c>
      <c r="T66" s="32">
        <v>7879</v>
      </c>
      <c r="U66" s="32">
        <v>7881</v>
      </c>
      <c r="V66" s="32">
        <v>7847</v>
      </c>
      <c r="W66" s="32">
        <v>7667</v>
      </c>
      <c r="X66" s="32">
        <v>8120</v>
      </c>
    </row>
    <row r="67" spans="2:34" hidden="1" outlineLevel="1" x14ac:dyDescent="0.3">
      <c r="B67" s="213" t="s">
        <v>688</v>
      </c>
      <c r="L67" s="32">
        <v>0</v>
      </c>
      <c r="M67" s="32">
        <v>0</v>
      </c>
      <c r="N67" s="32">
        <v>82467</v>
      </c>
      <c r="O67" s="32">
        <v>81695</v>
      </c>
      <c r="P67" s="32">
        <v>82717</v>
      </c>
      <c r="Q67" s="32">
        <v>82381</v>
      </c>
      <c r="R67" s="32">
        <v>82211</v>
      </c>
      <c r="S67" s="32">
        <v>81347</v>
      </c>
      <c r="T67" s="32">
        <v>56071</v>
      </c>
      <c r="U67" s="32">
        <v>56222</v>
      </c>
      <c r="V67" s="32">
        <v>56032</v>
      </c>
      <c r="W67" s="32">
        <v>49740</v>
      </c>
      <c r="X67" s="32">
        <v>51931</v>
      </c>
    </row>
    <row r="68" spans="2:34" hidden="1" outlineLevel="1" x14ac:dyDescent="0.3">
      <c r="B68" s="213" t="s">
        <v>689</v>
      </c>
      <c r="L68" s="32">
        <v>0</v>
      </c>
      <c r="M68" s="32">
        <v>0</v>
      </c>
      <c r="N68" s="32">
        <v>139814</v>
      </c>
      <c r="O68" s="32">
        <v>136262</v>
      </c>
      <c r="P68" s="32">
        <v>138574</v>
      </c>
      <c r="Q68" s="32">
        <v>231920</v>
      </c>
      <c r="R68" s="32">
        <v>221714</v>
      </c>
      <c r="S68" s="32">
        <v>222155</v>
      </c>
      <c r="T68" s="32">
        <v>196955</v>
      </c>
      <c r="U68" s="32">
        <v>192880</v>
      </c>
      <c r="V68" s="32">
        <v>188793</v>
      </c>
      <c r="W68" s="32">
        <v>180638</v>
      </c>
      <c r="X68" s="32">
        <v>184875</v>
      </c>
    </row>
    <row r="69" spans="2:34" hidden="1" outlineLevel="1" x14ac:dyDescent="0.3">
      <c r="B69" s="213" t="s">
        <v>526</v>
      </c>
      <c r="L69" s="32">
        <v>0</v>
      </c>
      <c r="M69" s="32">
        <v>0</v>
      </c>
      <c r="N69" s="32">
        <v>130013</v>
      </c>
      <c r="O69" s="32">
        <v>128854</v>
      </c>
      <c r="P69" s="32">
        <v>129232</v>
      </c>
      <c r="Q69" s="32">
        <v>181813</v>
      </c>
      <c r="R69" s="32">
        <v>179756</v>
      </c>
      <c r="S69" s="32">
        <v>179407</v>
      </c>
      <c r="T69" s="32">
        <v>170795</v>
      </c>
      <c r="U69" s="32">
        <v>219025</v>
      </c>
      <c r="V69" s="32">
        <v>208920</v>
      </c>
      <c r="W69" s="32">
        <v>206197</v>
      </c>
      <c r="X69" s="32">
        <v>211243</v>
      </c>
    </row>
    <row r="70" spans="2:34" hidden="1" outlineLevel="1" x14ac:dyDescent="0.3">
      <c r="B70" s="213" t="s">
        <v>528</v>
      </c>
      <c r="L70" s="32">
        <v>0</v>
      </c>
      <c r="M70" s="32">
        <v>0</v>
      </c>
      <c r="N70" s="32">
        <v>12911</v>
      </c>
      <c r="O70" s="32">
        <v>9646</v>
      </c>
      <c r="P70" s="32">
        <v>9015</v>
      </c>
      <c r="Q70" s="32">
        <v>18376</v>
      </c>
      <c r="R70" s="32">
        <v>24307</v>
      </c>
      <c r="S70" s="32">
        <v>25616</v>
      </c>
      <c r="T70" s="32">
        <v>70210</v>
      </c>
      <c r="U70" s="32">
        <v>55374</v>
      </c>
      <c r="V70" s="32">
        <v>44835</v>
      </c>
      <c r="W70" s="32">
        <v>32181</v>
      </c>
      <c r="X70" s="32">
        <v>22257</v>
      </c>
    </row>
    <row r="71" spans="2:34" hidden="1" outlineLevel="1" x14ac:dyDescent="0.3">
      <c r="B71" s="213" t="s">
        <v>690</v>
      </c>
      <c r="L71" s="32">
        <v>0</v>
      </c>
      <c r="M71" s="32">
        <v>0</v>
      </c>
      <c r="N71" s="32">
        <v>339721</v>
      </c>
      <c r="O71" s="32">
        <v>334229</v>
      </c>
      <c r="P71" s="32">
        <v>340824</v>
      </c>
      <c r="Q71" s="32">
        <v>440935</v>
      </c>
      <c r="R71" s="32">
        <v>438818</v>
      </c>
      <c r="S71" s="32">
        <v>440293</v>
      </c>
      <c r="T71" s="32">
        <v>430032</v>
      </c>
      <c r="U71" s="32">
        <v>375636</v>
      </c>
      <c r="V71" s="32">
        <v>369265</v>
      </c>
      <c r="W71" s="32">
        <v>360784</v>
      </c>
      <c r="X71" s="32">
        <v>361566</v>
      </c>
    </row>
    <row r="72" spans="2:34" hidden="1" outlineLevel="1" x14ac:dyDescent="0.3">
      <c r="B72" s="213" t="s">
        <v>691</v>
      </c>
      <c r="L72" s="32">
        <v>0</v>
      </c>
      <c r="M72" s="32">
        <v>0</v>
      </c>
      <c r="N72" s="32">
        <v>712869</v>
      </c>
      <c r="O72" s="32">
        <v>698471</v>
      </c>
      <c r="P72" s="32">
        <v>708332</v>
      </c>
      <c r="Q72" s="32">
        <v>963376</v>
      </c>
      <c r="R72" s="32">
        <v>954761</v>
      </c>
      <c r="S72" s="32">
        <v>956772</v>
      </c>
      <c r="T72" s="32">
        <v>931942</v>
      </c>
      <c r="U72" s="32">
        <v>907018</v>
      </c>
      <c r="V72" s="32">
        <v>875692</v>
      </c>
      <c r="W72" s="32">
        <v>837207</v>
      </c>
      <c r="X72" s="32">
        <v>839992</v>
      </c>
    </row>
    <row r="73" spans="2:34" hidden="1" outlineLevel="1" x14ac:dyDescent="0.3">
      <c r="B73" s="213" t="s">
        <v>692</v>
      </c>
      <c r="L73" s="32">
        <v>0</v>
      </c>
      <c r="M73" s="32">
        <v>0</v>
      </c>
      <c r="N73" s="32">
        <v>451588</v>
      </c>
      <c r="O73" s="32">
        <v>436547</v>
      </c>
      <c r="P73" s="32">
        <v>437012</v>
      </c>
      <c r="Q73" s="32">
        <v>601498</v>
      </c>
      <c r="R73" s="32">
        <v>588835</v>
      </c>
      <c r="S73" s="32">
        <v>579409</v>
      </c>
      <c r="T73" s="32">
        <v>553459</v>
      </c>
      <c r="U73" s="32">
        <v>544714</v>
      </c>
      <c r="V73" s="32">
        <v>533082</v>
      </c>
      <c r="W73" s="32">
        <v>515427</v>
      </c>
      <c r="X73" s="32">
        <v>518924</v>
      </c>
    </row>
    <row r="74" spans="2:34" hidden="1" outlineLevel="1" x14ac:dyDescent="0.3">
      <c r="B74" s="213" t="s">
        <v>532</v>
      </c>
      <c r="L74" s="32">
        <v>220458</v>
      </c>
      <c r="M74" s="32">
        <v>227058</v>
      </c>
      <c r="N74" s="32">
        <v>261281</v>
      </c>
      <c r="O74" s="32">
        <v>261924</v>
      </c>
      <c r="P74" s="32">
        <v>271320</v>
      </c>
      <c r="Q74" s="32">
        <v>361878</v>
      </c>
      <c r="R74" s="32">
        <v>365926</v>
      </c>
      <c r="S74" s="32">
        <v>377363</v>
      </c>
      <c r="T74" s="32">
        <v>378483</v>
      </c>
      <c r="U74" s="32">
        <v>362304</v>
      </c>
      <c r="V74" s="32">
        <v>342610</v>
      </c>
      <c r="W74" s="32">
        <v>321780</v>
      </c>
      <c r="X74" s="32">
        <v>321068</v>
      </c>
    </row>
    <row r="75" spans="2:34" hidden="1" outlineLevel="1" x14ac:dyDescent="0.3">
      <c r="B75" s="213" t="s">
        <v>693</v>
      </c>
      <c r="L75" s="32">
        <v>670323</v>
      </c>
      <c r="M75" s="32">
        <v>692489</v>
      </c>
      <c r="N75" s="32">
        <v>750855</v>
      </c>
      <c r="O75" s="32">
        <v>754537</v>
      </c>
      <c r="P75" s="32">
        <v>769922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W75" s="32">
        <v>0</v>
      </c>
      <c r="X75" s="32">
        <v>0</v>
      </c>
    </row>
    <row r="76" spans="2:34" hidden="1" outlineLevel="1" x14ac:dyDescent="0.3">
      <c r="B76" s="213" t="s">
        <v>242</v>
      </c>
      <c r="L76" s="32">
        <v>37931</v>
      </c>
      <c r="M76" s="32">
        <v>37497</v>
      </c>
      <c r="N76" s="32">
        <v>92166</v>
      </c>
      <c r="O76" s="32">
        <v>87126</v>
      </c>
      <c r="P76" s="32">
        <v>93455</v>
      </c>
      <c r="Q76" s="32">
        <v>92396</v>
      </c>
      <c r="R76" s="32">
        <v>92648</v>
      </c>
      <c r="S76" s="32">
        <v>96086</v>
      </c>
      <c r="T76" s="32">
        <v>93440</v>
      </c>
      <c r="U76" s="32">
        <v>276209</v>
      </c>
      <c r="V76" s="32">
        <v>272880</v>
      </c>
      <c r="W76" s="32">
        <v>269115</v>
      </c>
      <c r="X76" s="32">
        <v>286595</v>
      </c>
    </row>
    <row r="77" spans="2:34" hidden="1" outlineLevel="1" x14ac:dyDescent="0.3">
      <c r="B77" s="213" t="s">
        <v>694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90829</v>
      </c>
      <c r="S77" s="32">
        <v>91885</v>
      </c>
      <c r="T77" s="32">
        <v>91162</v>
      </c>
      <c r="U77" s="32">
        <v>91740</v>
      </c>
      <c r="V77" s="32">
        <v>89950</v>
      </c>
      <c r="W77" s="32">
        <v>89117</v>
      </c>
      <c r="X77" s="32">
        <v>94304</v>
      </c>
    </row>
    <row r="78" spans="2:34" hidden="1" outlineLevel="1" x14ac:dyDescent="0.3">
      <c r="B78" s="213" t="s">
        <v>841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5579</v>
      </c>
      <c r="S78" s="32">
        <v>5582</v>
      </c>
      <c r="T78" s="32">
        <v>5582</v>
      </c>
      <c r="U78" s="32">
        <v>5590</v>
      </c>
      <c r="V78" s="32">
        <v>5563</v>
      </c>
      <c r="W78" s="32">
        <v>5516</v>
      </c>
      <c r="X78" s="32">
        <v>5227</v>
      </c>
    </row>
    <row r="79" spans="2:34" hidden="1" outlineLevel="1" x14ac:dyDescent="0.3">
      <c r="B79" s="213" t="s">
        <v>695</v>
      </c>
      <c r="L79" s="32">
        <v>0</v>
      </c>
      <c r="M79" s="32">
        <v>0</v>
      </c>
      <c r="N79" s="32">
        <v>30637</v>
      </c>
      <c r="O79" s="32">
        <v>29286</v>
      </c>
      <c r="P79" s="32">
        <v>30855</v>
      </c>
      <c r="Q79" s="32">
        <v>79372</v>
      </c>
      <c r="R79" s="32">
        <v>85250</v>
      </c>
      <c r="S79" s="32">
        <v>86303</v>
      </c>
      <c r="T79" s="32">
        <v>85580</v>
      </c>
      <c r="U79" s="32">
        <v>86150</v>
      </c>
      <c r="V79" s="32">
        <v>84387</v>
      </c>
      <c r="W79" s="32">
        <v>83601</v>
      </c>
      <c r="X79" s="32">
        <v>89077</v>
      </c>
    </row>
    <row r="80" spans="2:34" hidden="1" outlineLevel="1" x14ac:dyDescent="0.3">
      <c r="B80" s="213" t="s">
        <v>346</v>
      </c>
      <c r="L80" s="32">
        <v>0</v>
      </c>
      <c r="M80" s="32">
        <v>0</v>
      </c>
      <c r="N80" s="32">
        <v>0</v>
      </c>
      <c r="O80" s="32">
        <v>0</v>
      </c>
      <c r="P80" s="32">
        <v>2103</v>
      </c>
      <c r="Q80" s="32">
        <v>0</v>
      </c>
      <c r="R80" s="32">
        <v>18760</v>
      </c>
      <c r="S80" s="32">
        <v>18950</v>
      </c>
      <c r="T80" s="32">
        <v>18818</v>
      </c>
      <c r="U80" s="32">
        <v>18914</v>
      </c>
      <c r="V80" s="32">
        <v>18613</v>
      </c>
      <c r="W80" s="32">
        <v>18923</v>
      </c>
      <c r="X80" s="32">
        <v>19947</v>
      </c>
    </row>
    <row r="81" spans="2:34" hidden="1" outlineLevel="1" x14ac:dyDescent="0.3">
      <c r="B81" s="213" t="s">
        <v>842</v>
      </c>
      <c r="L81" s="32">
        <v>0</v>
      </c>
      <c r="M81" s="32">
        <v>0</v>
      </c>
      <c r="N81" s="32">
        <v>0</v>
      </c>
      <c r="O81" s="32">
        <v>0</v>
      </c>
      <c r="P81" s="32">
        <v>1790</v>
      </c>
      <c r="Q81" s="32">
        <v>0</v>
      </c>
      <c r="R81" s="32">
        <v>17363</v>
      </c>
      <c r="S81" s="32">
        <v>17372</v>
      </c>
      <c r="T81" s="32">
        <v>16928</v>
      </c>
      <c r="U81" s="32">
        <v>16785</v>
      </c>
      <c r="V81" s="32">
        <v>16448</v>
      </c>
      <c r="W81" s="32">
        <v>16127</v>
      </c>
      <c r="X81" s="32">
        <v>16447</v>
      </c>
    </row>
    <row r="82" spans="2:34" hidden="1" outlineLevel="1" x14ac:dyDescent="0.3">
      <c r="B82" s="213" t="s">
        <v>347</v>
      </c>
      <c r="L82" s="32">
        <v>30008</v>
      </c>
      <c r="M82" s="32">
        <v>29082</v>
      </c>
      <c r="N82" s="32">
        <v>0</v>
      </c>
      <c r="O82" s="32">
        <v>273</v>
      </c>
      <c r="P82" s="32">
        <v>313</v>
      </c>
      <c r="Q82" s="32">
        <v>1253</v>
      </c>
      <c r="R82" s="32">
        <v>1397</v>
      </c>
      <c r="S82" s="32">
        <v>1578</v>
      </c>
      <c r="T82" s="32">
        <v>1890</v>
      </c>
      <c r="U82" s="32">
        <v>2129</v>
      </c>
      <c r="V82" s="32">
        <v>2165</v>
      </c>
      <c r="W82" s="32">
        <v>2796</v>
      </c>
      <c r="X82" s="32">
        <v>3500</v>
      </c>
    </row>
    <row r="83" spans="2:34" hidden="1" outlineLevel="1" x14ac:dyDescent="0.3">
      <c r="B83" s="213" t="s">
        <v>376</v>
      </c>
      <c r="L83" s="32">
        <v>12443</v>
      </c>
      <c r="M83" s="32">
        <v>14568</v>
      </c>
      <c r="N83" s="32">
        <v>25188</v>
      </c>
      <c r="O83" s="32">
        <v>23185</v>
      </c>
      <c r="P83" s="32">
        <v>24043</v>
      </c>
      <c r="Q83" s="32">
        <v>25015</v>
      </c>
      <c r="R83" s="32">
        <v>23126</v>
      </c>
      <c r="S83" s="32">
        <v>24842</v>
      </c>
      <c r="T83" s="32">
        <v>41451</v>
      </c>
      <c r="U83" s="32">
        <v>11918</v>
      </c>
      <c r="V83" s="32">
        <v>15289</v>
      </c>
      <c r="W83" s="32">
        <v>2794</v>
      </c>
      <c r="X83" s="32">
        <v>3820</v>
      </c>
    </row>
    <row r="84" spans="2:34" hidden="1" outlineLevel="1" x14ac:dyDescent="0.3">
      <c r="B84" s="213" t="s">
        <v>696</v>
      </c>
      <c r="L84" s="32">
        <v>21207</v>
      </c>
      <c r="M84" s="32">
        <v>19366</v>
      </c>
      <c r="N84" s="32">
        <v>24571</v>
      </c>
      <c r="O84" s="32">
        <v>24859</v>
      </c>
      <c r="P84" s="32">
        <v>25121</v>
      </c>
      <c r="Q84" s="32">
        <v>27697</v>
      </c>
      <c r="R84" s="32">
        <v>25094</v>
      </c>
      <c r="S84" s="32">
        <v>24757</v>
      </c>
      <c r="T84" s="32">
        <v>22351</v>
      </c>
      <c r="U84" s="32">
        <v>22190</v>
      </c>
      <c r="V84" s="32">
        <v>22359</v>
      </c>
      <c r="W84" s="32">
        <v>21765</v>
      </c>
      <c r="X84" s="32">
        <v>42826</v>
      </c>
    </row>
    <row r="85" spans="2:34" s="187" customFormat="1" collapsed="1" x14ac:dyDescent="0.3">
      <c r="B85" s="208" t="s">
        <v>536</v>
      </c>
      <c r="C85" s="185"/>
      <c r="D85" s="204">
        <f t="shared" ref="D85:F85" si="40">D$28 * D19</f>
        <v>705924.51400259323</v>
      </c>
      <c r="E85" s="204">
        <f t="shared" si="40"/>
        <v>630534.21978803794</v>
      </c>
      <c r="F85" s="204">
        <f t="shared" si="40"/>
        <v>450045.19553049433</v>
      </c>
      <c r="G85" s="204">
        <f>G$28 * G19</f>
        <v>865920.20931089565</v>
      </c>
      <c r="H85" s="205"/>
      <c r="I85" s="206"/>
      <c r="J85" s="207"/>
      <c r="K85" s="185"/>
      <c r="L85" s="204">
        <f>L86 - L65</f>
        <v>992370</v>
      </c>
      <c r="M85" s="204">
        <f t="shared" ref="M85:X85" si="41">M86 - M65</f>
        <v>1020060</v>
      </c>
      <c r="N85" s="204">
        <f t="shared" si="41"/>
        <v>1184698</v>
      </c>
      <c r="O85" s="204">
        <f t="shared" si="41"/>
        <v>1181190</v>
      </c>
      <c r="P85" s="204">
        <f t="shared" si="41"/>
        <v>1215029</v>
      </c>
      <c r="Q85" s="204">
        <f t="shared" si="41"/>
        <v>587611</v>
      </c>
      <c r="R85" s="204">
        <f t="shared" si="41"/>
        <v>593441</v>
      </c>
      <c r="S85" s="204">
        <f t="shared" si="41"/>
        <v>610929</v>
      </c>
      <c r="T85" s="204">
        <f t="shared" si="41"/>
        <v>623195</v>
      </c>
      <c r="U85" s="204">
        <f t="shared" si="41"/>
        <v>760900</v>
      </c>
      <c r="V85" s="204">
        <f t="shared" si="41"/>
        <v>739690</v>
      </c>
      <c r="W85" s="204">
        <f t="shared" si="41"/>
        <v>701851</v>
      </c>
      <c r="X85" s="204">
        <f t="shared" si="41"/>
        <v>746886</v>
      </c>
      <c r="Y85" s="204"/>
      <c r="AH85" s="228"/>
    </row>
    <row r="86" spans="2:34" s="39" customFormat="1" x14ac:dyDescent="0.3">
      <c r="B86" s="76" t="s">
        <v>244</v>
      </c>
      <c r="C86" s="25"/>
      <c r="D86" s="77">
        <f t="shared" ref="D86:F86" si="42">D65 + D85</f>
        <v>1124906.1909783883</v>
      </c>
      <c r="E86" s="77">
        <f t="shared" si="42"/>
        <v>1004770.104159729</v>
      </c>
      <c r="F86" s="77">
        <f t="shared" si="42"/>
        <v>717156.88665045076</v>
      </c>
      <c r="G86" s="77">
        <f>G65 + G85</f>
        <v>1379862.839475709</v>
      </c>
      <c r="H86" s="77"/>
      <c r="I86" s="77"/>
      <c r="J86" s="77"/>
      <c r="K86" s="25"/>
      <c r="L86" s="77">
        <v>1770028</v>
      </c>
      <c r="M86" s="77">
        <v>1755068</v>
      </c>
      <c r="N86" s="77">
        <v>1785492</v>
      </c>
      <c r="O86" s="77">
        <v>1755527</v>
      </c>
      <c r="P86" s="77">
        <v>1816073</v>
      </c>
      <c r="Q86" s="77">
        <v>1430713</v>
      </c>
      <c r="R86" s="77">
        <v>1367796</v>
      </c>
      <c r="S86" s="77">
        <v>1317425</v>
      </c>
      <c r="T86" s="77">
        <v>1498483</v>
      </c>
      <c r="U86" s="77">
        <v>1597513</v>
      </c>
      <c r="V86" s="77">
        <v>1479376</v>
      </c>
      <c r="W86" s="77">
        <v>1596424</v>
      </c>
      <c r="X86" s="77">
        <v>1482276</v>
      </c>
      <c r="Y86"/>
      <c r="Z86"/>
      <c r="AH86" s="226"/>
    </row>
    <row r="87" spans="2:34" s="39" customFormat="1" ht="6.9" customHeight="1" x14ac:dyDescent="0.3">
      <c r="B87" s="78"/>
      <c r="C87" s="25"/>
      <c r="D87" s="79"/>
      <c r="E87" s="79"/>
      <c r="F87" s="79"/>
      <c r="G87" s="79"/>
      <c r="H87" s="79"/>
      <c r="I87" s="79"/>
      <c r="J87" s="79"/>
      <c r="K87" s="25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/>
      <c r="Z87"/>
      <c r="AH87" s="226"/>
    </row>
    <row r="88" spans="2:34" hidden="1" outlineLevel="1" x14ac:dyDescent="0.3">
      <c r="B88" s="213" t="s">
        <v>246</v>
      </c>
      <c r="L88" s="32">
        <v>178541</v>
      </c>
      <c r="M88" s="32">
        <v>175232</v>
      </c>
      <c r="N88" s="32">
        <v>195906</v>
      </c>
      <c r="O88" s="32">
        <v>157822</v>
      </c>
      <c r="P88" s="32">
        <v>121655</v>
      </c>
      <c r="Q88" s="32">
        <v>257504</v>
      </c>
      <c r="R88" s="32">
        <v>215528</v>
      </c>
      <c r="S88" s="32">
        <v>146375</v>
      </c>
      <c r="T88" s="32">
        <v>244366</v>
      </c>
      <c r="U88" s="32">
        <v>242729</v>
      </c>
      <c r="V88" s="32">
        <v>175588</v>
      </c>
      <c r="W88" s="32">
        <v>247282</v>
      </c>
      <c r="X88" s="32">
        <v>166954</v>
      </c>
    </row>
    <row r="89" spans="2:34" hidden="1" outlineLevel="1" x14ac:dyDescent="0.3">
      <c r="B89" s="213" t="s">
        <v>697</v>
      </c>
      <c r="L89" s="32">
        <v>12237</v>
      </c>
      <c r="M89" s="32">
        <v>10919</v>
      </c>
      <c r="N89" s="32">
        <v>31531</v>
      </c>
      <c r="O89" s="32">
        <v>32552</v>
      </c>
      <c r="P89" s="32">
        <v>31701</v>
      </c>
      <c r="Q89" s="32">
        <v>31534</v>
      </c>
      <c r="R89" s="32">
        <v>27604</v>
      </c>
      <c r="S89" s="32">
        <v>23557</v>
      </c>
      <c r="T89" s="32">
        <v>17799</v>
      </c>
      <c r="U89" s="32">
        <v>20297</v>
      </c>
      <c r="V89" s="32">
        <v>19761</v>
      </c>
      <c r="W89" s="32">
        <v>23434</v>
      </c>
      <c r="X89" s="32">
        <v>18493</v>
      </c>
    </row>
    <row r="90" spans="2:34" hidden="1" outlineLevel="1" x14ac:dyDescent="0.3">
      <c r="B90" s="213" t="s">
        <v>698</v>
      </c>
      <c r="L90" s="32">
        <v>0</v>
      </c>
      <c r="M90" s="32">
        <v>0</v>
      </c>
      <c r="N90" s="32">
        <v>12978</v>
      </c>
      <c r="O90" s="32">
        <v>12774</v>
      </c>
      <c r="P90" s="32">
        <v>12881</v>
      </c>
      <c r="Q90" s="32">
        <v>16459</v>
      </c>
      <c r="R90" s="32">
        <v>18048</v>
      </c>
      <c r="S90" s="32">
        <v>14008</v>
      </c>
      <c r="T90" s="32">
        <v>19151</v>
      </c>
      <c r="U90" s="32">
        <v>19555</v>
      </c>
      <c r="V90" s="32">
        <v>18400</v>
      </c>
      <c r="W90" s="32">
        <v>19828</v>
      </c>
      <c r="X90" s="32">
        <v>17554</v>
      </c>
    </row>
    <row r="91" spans="2:34" hidden="1" outlineLevel="1" x14ac:dyDescent="0.3">
      <c r="B91" s="213" t="s">
        <v>458</v>
      </c>
      <c r="L91" s="32">
        <v>0</v>
      </c>
      <c r="M91" s="32">
        <v>0</v>
      </c>
      <c r="N91" s="32">
        <v>73</v>
      </c>
      <c r="O91" s="32">
        <v>72</v>
      </c>
      <c r="P91" s="32">
        <v>71</v>
      </c>
      <c r="Q91" s="32">
        <v>69</v>
      </c>
      <c r="R91" s="32">
        <v>68</v>
      </c>
      <c r="S91" s="32">
        <v>67</v>
      </c>
      <c r="T91" s="32">
        <v>24907</v>
      </c>
      <c r="U91" s="32">
        <v>64</v>
      </c>
      <c r="V91" s="32">
        <v>8746</v>
      </c>
      <c r="W91" s="32">
        <v>2956</v>
      </c>
      <c r="X91" s="32">
        <v>11640</v>
      </c>
    </row>
    <row r="92" spans="2:34" hidden="1" outlineLevel="1" x14ac:dyDescent="0.3">
      <c r="B92" s="213" t="s">
        <v>843</v>
      </c>
      <c r="L92" s="32">
        <v>24860</v>
      </c>
      <c r="M92" s="32">
        <v>23741</v>
      </c>
      <c r="N92" s="32">
        <v>17146</v>
      </c>
      <c r="O92" s="32">
        <v>14896</v>
      </c>
      <c r="P92" s="32">
        <v>13914</v>
      </c>
      <c r="Q92" s="32">
        <v>9325</v>
      </c>
      <c r="R92" s="32">
        <v>1625</v>
      </c>
      <c r="S92" s="32">
        <v>1690</v>
      </c>
      <c r="T92" s="32">
        <v>2207</v>
      </c>
      <c r="U92" s="32">
        <v>2051</v>
      </c>
      <c r="V92" s="32">
        <v>1617</v>
      </c>
      <c r="W92" s="32">
        <v>12172</v>
      </c>
      <c r="X92" s="32">
        <v>14631</v>
      </c>
    </row>
    <row r="93" spans="2:34" hidden="1" outlineLevel="1" x14ac:dyDescent="0.3">
      <c r="B93" s="213" t="s">
        <v>844</v>
      </c>
      <c r="L93" s="32">
        <v>199392</v>
      </c>
      <c r="M93" s="32">
        <v>164723</v>
      </c>
      <c r="N93" s="32">
        <v>145788</v>
      </c>
      <c r="O93" s="32">
        <v>141233</v>
      </c>
      <c r="P93" s="32">
        <v>138758</v>
      </c>
      <c r="Q93" s="32">
        <v>0</v>
      </c>
      <c r="R93" s="32">
        <v>0</v>
      </c>
      <c r="S93" s="32">
        <v>0</v>
      </c>
      <c r="T93" s="32">
        <v>0</v>
      </c>
      <c r="U93" s="32">
        <v>0</v>
      </c>
      <c r="V93" s="32">
        <v>0</v>
      </c>
      <c r="W93" s="32">
        <v>0</v>
      </c>
      <c r="X93" s="32">
        <v>0</v>
      </c>
    </row>
    <row r="94" spans="2:34" hidden="1" outlineLevel="1" x14ac:dyDescent="0.3">
      <c r="B94" s="213" t="s">
        <v>699</v>
      </c>
      <c r="L94" s="32">
        <v>75381</v>
      </c>
      <c r="M94" s="32">
        <v>54926</v>
      </c>
      <c r="N94" s="32">
        <v>44614</v>
      </c>
      <c r="O94" s="32">
        <v>41593</v>
      </c>
      <c r="P94" s="32">
        <v>44400</v>
      </c>
      <c r="Q94" s="32">
        <v>56931</v>
      </c>
      <c r="R94" s="32">
        <v>53307</v>
      </c>
      <c r="S94" s="32">
        <v>53502</v>
      </c>
      <c r="T94" s="32">
        <v>69242</v>
      </c>
      <c r="U94" s="32">
        <v>64225</v>
      </c>
      <c r="V94" s="32">
        <v>65424</v>
      </c>
      <c r="W94" s="32">
        <v>63742</v>
      </c>
      <c r="X94" s="32">
        <v>70296</v>
      </c>
    </row>
    <row r="95" spans="2:34" hidden="1" outlineLevel="1" x14ac:dyDescent="0.3">
      <c r="B95" s="213" t="s">
        <v>700</v>
      </c>
      <c r="L95" s="32">
        <v>429</v>
      </c>
      <c r="M95" s="32">
        <v>483</v>
      </c>
      <c r="N95" s="32">
        <v>488</v>
      </c>
      <c r="O95" s="32">
        <v>520</v>
      </c>
      <c r="P95" s="32">
        <v>484</v>
      </c>
      <c r="Q95" s="32">
        <v>470</v>
      </c>
      <c r="R95" s="32">
        <v>1939</v>
      </c>
      <c r="S95" s="32">
        <v>1804</v>
      </c>
      <c r="T95" s="32">
        <v>1822</v>
      </c>
      <c r="U95" s="32">
        <v>2111</v>
      </c>
      <c r="V95" s="32">
        <v>3164</v>
      </c>
      <c r="W95" s="32">
        <v>2866</v>
      </c>
      <c r="X95" s="32">
        <v>11445</v>
      </c>
    </row>
    <row r="96" spans="2:34" s="187" customFormat="1" collapsed="1" x14ac:dyDescent="0.3">
      <c r="B96" s="208" t="s">
        <v>441</v>
      </c>
      <c r="C96" s="185"/>
      <c r="D96" s="204">
        <f t="shared" ref="D96:F96" si="43">D$28 * D20</f>
        <v>284941.17222848546</v>
      </c>
      <c r="E96" s="204">
        <f t="shared" si="43"/>
        <v>254510.44148881477</v>
      </c>
      <c r="F96" s="204">
        <f t="shared" si="43"/>
        <v>181657.39116092789</v>
      </c>
      <c r="G96" s="204">
        <f>G$28 * G20</f>
        <v>349522.24296389241</v>
      </c>
      <c r="H96" s="205"/>
      <c r="I96" s="206"/>
      <c r="J96" s="207"/>
      <c r="K96" s="185"/>
      <c r="L96" s="204">
        <v>490840</v>
      </c>
      <c r="M96" s="204">
        <v>430024</v>
      </c>
      <c r="N96" s="204">
        <v>448524</v>
      </c>
      <c r="O96" s="204">
        <v>401462</v>
      </c>
      <c r="P96" s="204">
        <v>363864</v>
      </c>
      <c r="Q96" s="204">
        <v>372292</v>
      </c>
      <c r="R96" s="204">
        <v>318119</v>
      </c>
      <c r="S96" s="204">
        <v>241003</v>
      </c>
      <c r="T96" s="204">
        <v>379494</v>
      </c>
      <c r="U96" s="204">
        <v>351032</v>
      </c>
      <c r="V96" s="204">
        <v>292700</v>
      </c>
      <c r="W96" s="204">
        <v>372280</v>
      </c>
      <c r="X96" s="204">
        <v>311013</v>
      </c>
      <c r="Y96" s="204"/>
      <c r="AH96" s="228"/>
    </row>
    <row r="97" spans="2:34" hidden="1" outlineLevel="1" x14ac:dyDescent="0.3">
      <c r="B97" s="213" t="s">
        <v>701</v>
      </c>
      <c r="L97" s="32">
        <v>186049</v>
      </c>
      <c r="M97" s="32">
        <v>198939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32">
        <v>0</v>
      </c>
      <c r="T97" s="32">
        <v>0</v>
      </c>
      <c r="U97" s="32">
        <v>0</v>
      </c>
      <c r="V97" s="32">
        <v>0</v>
      </c>
      <c r="W97" s="32">
        <v>0</v>
      </c>
      <c r="X97" s="32">
        <v>0</v>
      </c>
    </row>
    <row r="98" spans="2:34" hidden="1" outlineLevel="1" x14ac:dyDescent="0.3">
      <c r="B98" s="213" t="s">
        <v>702</v>
      </c>
      <c r="K98" s="32"/>
      <c r="L98" s="32">
        <v>24860</v>
      </c>
      <c r="M98" s="32">
        <v>23741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</row>
    <row r="99" spans="2:34" hidden="1" outlineLevel="1" x14ac:dyDescent="0.3">
      <c r="B99" s="213" t="s">
        <v>703</v>
      </c>
      <c r="D99" s="32">
        <f>ROUND(IF(AND(NOT($G$8),$G$9), AVERAGE($L99:$M99), $N99), -2)</f>
        <v>0</v>
      </c>
      <c r="E99" s="32">
        <f t="shared" ref="E99:G101" si="44">ROUND(IF(AND(NOT($G$8),$G$9), AVERAGE($L99:$M99), $N99), -2)</f>
        <v>0</v>
      </c>
      <c r="F99" s="32">
        <f t="shared" si="44"/>
        <v>0</v>
      </c>
      <c r="G99" s="32">
        <f t="shared" si="44"/>
        <v>0</v>
      </c>
      <c r="K99" s="32"/>
      <c r="L99" s="32">
        <v>210909</v>
      </c>
      <c r="M99" s="32">
        <v>222680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32">
        <v>0</v>
      </c>
      <c r="T99" s="32">
        <v>0</v>
      </c>
      <c r="U99" s="32">
        <v>0</v>
      </c>
      <c r="V99" s="32">
        <v>0</v>
      </c>
      <c r="W99" s="32">
        <v>0</v>
      </c>
      <c r="X99" s="32">
        <v>0</v>
      </c>
    </row>
    <row r="100" spans="2:34" hidden="1" outlineLevel="1" x14ac:dyDescent="0.3">
      <c r="B100" s="213" t="s">
        <v>704</v>
      </c>
      <c r="D100" s="32">
        <f t="shared" ref="D100:D101" si="45">ROUND(IF(AND(NOT($G$8),$G$9), AVERAGE($L100:$M100), $N100), -2)</f>
        <v>0</v>
      </c>
      <c r="E100" s="32">
        <f t="shared" si="44"/>
        <v>0</v>
      </c>
      <c r="F100" s="32">
        <f t="shared" si="44"/>
        <v>0</v>
      </c>
      <c r="G100" s="32">
        <f t="shared" si="44"/>
        <v>0</v>
      </c>
      <c r="K100" s="32"/>
      <c r="L100" s="32">
        <v>24860</v>
      </c>
      <c r="M100" s="32">
        <v>23741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32">
        <v>0</v>
      </c>
      <c r="U100" s="32">
        <v>0</v>
      </c>
      <c r="V100" s="32">
        <v>0</v>
      </c>
      <c r="W100" s="32">
        <v>0</v>
      </c>
      <c r="X100" s="32">
        <v>0</v>
      </c>
    </row>
    <row r="101" spans="2:34" hidden="1" outlineLevel="1" x14ac:dyDescent="0.3">
      <c r="B101" s="213" t="s">
        <v>559</v>
      </c>
      <c r="D101" s="32">
        <f t="shared" si="45"/>
        <v>0</v>
      </c>
      <c r="E101" s="32">
        <f t="shared" si="44"/>
        <v>0</v>
      </c>
      <c r="F101" s="32">
        <f t="shared" si="44"/>
        <v>0</v>
      </c>
      <c r="G101" s="32">
        <f t="shared" si="44"/>
        <v>0</v>
      </c>
      <c r="K101" s="32"/>
      <c r="L101" s="32">
        <v>0</v>
      </c>
      <c r="M101" s="32">
        <v>198939</v>
      </c>
      <c r="N101" s="32">
        <v>0</v>
      </c>
      <c r="O101" s="32">
        <v>0</v>
      </c>
      <c r="P101" s="32">
        <v>0</v>
      </c>
      <c r="Q101" s="32">
        <v>0</v>
      </c>
      <c r="R101" s="32">
        <v>0</v>
      </c>
      <c r="S101" s="32">
        <v>0</v>
      </c>
      <c r="T101" s="32">
        <v>0</v>
      </c>
      <c r="U101" s="32">
        <v>0</v>
      </c>
      <c r="V101" s="32">
        <v>0</v>
      </c>
      <c r="W101" s="32">
        <v>0</v>
      </c>
      <c r="X101" s="32">
        <v>0</v>
      </c>
    </row>
    <row r="102" spans="2:34" hidden="1" outlineLevel="1" x14ac:dyDescent="0.3">
      <c r="B102" s="213" t="s">
        <v>559</v>
      </c>
      <c r="K102" s="32"/>
      <c r="L102" s="32">
        <v>186049</v>
      </c>
      <c r="M102" s="32">
        <v>0</v>
      </c>
      <c r="N102" s="32">
        <v>62368</v>
      </c>
      <c r="O102" s="32">
        <v>60244</v>
      </c>
      <c r="P102" s="32">
        <v>59762</v>
      </c>
      <c r="Q102" s="32">
        <v>72455</v>
      </c>
      <c r="R102" s="32">
        <v>81712</v>
      </c>
      <c r="S102" s="32">
        <v>103994</v>
      </c>
      <c r="T102" s="32">
        <v>221372</v>
      </c>
      <c r="U102" s="32">
        <v>188823</v>
      </c>
      <c r="V102" s="32">
        <v>136390</v>
      </c>
      <c r="W102" s="32">
        <v>214076</v>
      </c>
      <c r="X102" s="32">
        <v>101273</v>
      </c>
    </row>
    <row r="103" spans="2:34" hidden="1" outlineLevel="1" x14ac:dyDescent="0.3">
      <c r="B103" s="213" t="s">
        <v>705</v>
      </c>
      <c r="L103" s="32">
        <v>593723</v>
      </c>
      <c r="M103" s="32">
        <v>615400</v>
      </c>
      <c r="N103" s="32">
        <v>663168</v>
      </c>
      <c r="O103" s="32">
        <v>671047</v>
      </c>
      <c r="P103" s="32">
        <v>690432</v>
      </c>
      <c r="Q103" s="32">
        <v>0</v>
      </c>
      <c r="R103" s="32">
        <v>0</v>
      </c>
      <c r="S103" s="32">
        <v>0</v>
      </c>
      <c r="T103" s="32">
        <v>0</v>
      </c>
      <c r="U103" s="32">
        <v>0</v>
      </c>
      <c r="V103" s="32">
        <v>0</v>
      </c>
      <c r="W103" s="32">
        <v>0</v>
      </c>
      <c r="X103" s="32">
        <v>0</v>
      </c>
    </row>
    <row r="104" spans="2:34" hidden="1" outlineLevel="1" x14ac:dyDescent="0.3">
      <c r="B104" s="213" t="s">
        <v>706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5878</v>
      </c>
      <c r="U104" s="32">
        <v>5989</v>
      </c>
      <c r="V104" s="32">
        <v>6094</v>
      </c>
      <c r="W104" s="32">
        <v>9283</v>
      </c>
      <c r="X104" s="32">
        <v>9660</v>
      </c>
    </row>
    <row r="105" spans="2:34" hidden="1" outlineLevel="1" x14ac:dyDescent="0.3">
      <c r="B105" s="213" t="s">
        <v>707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142462</v>
      </c>
      <c r="R105" s="32">
        <v>142106</v>
      </c>
      <c r="S105" s="32">
        <v>141882</v>
      </c>
      <c r="T105" s="32">
        <v>135632</v>
      </c>
      <c r="U105" s="32">
        <v>133059</v>
      </c>
      <c r="V105" s="32">
        <v>129617</v>
      </c>
      <c r="W105" s="32">
        <v>133339</v>
      </c>
      <c r="X105" s="32">
        <v>150414</v>
      </c>
    </row>
    <row r="106" spans="2:34" hidden="1" outlineLevel="1" x14ac:dyDescent="0.3">
      <c r="B106" s="213" t="s">
        <v>562</v>
      </c>
      <c r="L106" s="32">
        <v>36871</v>
      </c>
      <c r="M106" s="32">
        <v>33202</v>
      </c>
      <c r="N106" s="32">
        <v>36138</v>
      </c>
      <c r="O106" s="32">
        <v>36307</v>
      </c>
      <c r="P106" s="32">
        <v>37178</v>
      </c>
      <c r="Q106" s="32">
        <v>0</v>
      </c>
      <c r="R106" s="32">
        <v>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</row>
    <row r="107" spans="2:34" hidden="1" outlineLevel="1" x14ac:dyDescent="0.3">
      <c r="B107" s="213" t="s">
        <v>700</v>
      </c>
      <c r="L107" s="32">
        <v>1681</v>
      </c>
      <c r="M107" s="32">
        <v>1681</v>
      </c>
      <c r="N107" s="32">
        <v>1846</v>
      </c>
      <c r="O107" s="32">
        <v>1846</v>
      </c>
      <c r="P107" s="32">
        <v>1911</v>
      </c>
      <c r="Q107" s="32">
        <v>1743</v>
      </c>
      <c r="R107" s="32">
        <v>1701</v>
      </c>
      <c r="S107" s="32">
        <v>1707</v>
      </c>
      <c r="T107" s="32">
        <v>1707</v>
      </c>
      <c r="U107" s="32">
        <v>1713</v>
      </c>
      <c r="V107" s="32">
        <v>1713</v>
      </c>
      <c r="W107" s="32">
        <v>1713</v>
      </c>
      <c r="X107" s="32">
        <v>4230</v>
      </c>
    </row>
    <row r="108" spans="2:34" s="187" customFormat="1" collapsed="1" x14ac:dyDescent="0.3">
      <c r="B108" s="208" t="s">
        <v>563</v>
      </c>
      <c r="C108" s="185"/>
      <c r="D108" s="204">
        <f t="shared" ref="D108:F108" ca="1" si="46">D86 - SUM(D96, D121)</f>
        <v>426610.23693612311</v>
      </c>
      <c r="E108" s="204">
        <f t="shared" ca="1" si="46"/>
        <v>332192.72940223163</v>
      </c>
      <c r="F108" s="204">
        <f t="shared" ca="1" si="46"/>
        <v>103324.5371194873</v>
      </c>
      <c r="G108" s="204">
        <f ca="1">G86 - SUM(G96, G121)</f>
        <v>551129.69979349722</v>
      </c>
      <c r="H108" s="205"/>
      <c r="I108" s="206"/>
      <c r="J108" s="207"/>
      <c r="K108" s="185"/>
      <c r="L108" s="204">
        <f>L109 - L96</f>
        <v>818324</v>
      </c>
      <c r="M108" s="204">
        <f t="shared" ref="M108:X108" si="47">M109 - M96</f>
        <v>849222</v>
      </c>
      <c r="N108" s="204">
        <f t="shared" si="47"/>
        <v>763520</v>
      </c>
      <c r="O108" s="204">
        <f t="shared" si="47"/>
        <v>769444</v>
      </c>
      <c r="P108" s="204">
        <f t="shared" si="47"/>
        <v>789283</v>
      </c>
      <c r="Q108" s="204">
        <f t="shared" si="47"/>
        <v>216660</v>
      </c>
      <c r="R108" s="204">
        <f t="shared" si="47"/>
        <v>225519</v>
      </c>
      <c r="S108" s="204">
        <f t="shared" si="47"/>
        <v>247583</v>
      </c>
      <c r="T108" s="204">
        <f t="shared" si="47"/>
        <v>364589</v>
      </c>
      <c r="U108" s="204">
        <f t="shared" si="47"/>
        <v>329584</v>
      </c>
      <c r="V108" s="204">
        <f t="shared" si="47"/>
        <v>273814</v>
      </c>
      <c r="W108" s="204">
        <f t="shared" si="47"/>
        <v>358411</v>
      </c>
      <c r="X108" s="204">
        <f t="shared" si="47"/>
        <v>265577</v>
      </c>
      <c r="Y108" s="204"/>
      <c r="AH108" s="228"/>
    </row>
    <row r="109" spans="2:34" s="39" customFormat="1" x14ac:dyDescent="0.3">
      <c r="B109" s="76" t="s">
        <v>259</v>
      </c>
      <c r="C109" s="25"/>
      <c r="D109" s="77">
        <f t="shared" ref="D109:F109" ca="1" si="48">D108 + D96</f>
        <v>711551.40916460857</v>
      </c>
      <c r="E109" s="77">
        <f t="shared" ca="1" si="48"/>
        <v>586703.17089104641</v>
      </c>
      <c r="F109" s="77">
        <f t="shared" ca="1" si="48"/>
        <v>284981.92828041519</v>
      </c>
      <c r="G109" s="77">
        <f ca="1">G108 + G96</f>
        <v>900651.94275738962</v>
      </c>
      <c r="H109" s="77"/>
      <c r="I109" s="77"/>
      <c r="J109" s="77"/>
      <c r="K109" s="25"/>
      <c r="L109" s="77">
        <v>1309164</v>
      </c>
      <c r="M109" s="77">
        <v>1279246</v>
      </c>
      <c r="N109" s="77">
        <v>1212044</v>
      </c>
      <c r="O109" s="77">
        <v>1170906</v>
      </c>
      <c r="P109" s="77">
        <v>1153147</v>
      </c>
      <c r="Q109" s="77">
        <v>588952</v>
      </c>
      <c r="R109" s="77">
        <v>543638</v>
      </c>
      <c r="S109" s="77">
        <v>488586</v>
      </c>
      <c r="T109" s="77">
        <v>744083</v>
      </c>
      <c r="U109" s="77">
        <v>680616</v>
      </c>
      <c r="V109" s="77">
        <v>566514</v>
      </c>
      <c r="W109" s="77">
        <v>730691</v>
      </c>
      <c r="X109" s="77">
        <v>576590</v>
      </c>
      <c r="Y109"/>
      <c r="Z109"/>
      <c r="AH109" s="226"/>
    </row>
    <row r="110" spans="2:34" s="39" customFormat="1" ht="6.9" customHeight="1" x14ac:dyDescent="0.3">
      <c r="B110" s="78"/>
      <c r="C110" s="25"/>
      <c r="D110" s="79"/>
      <c r="E110" s="79"/>
      <c r="F110" s="79"/>
      <c r="G110" s="79"/>
      <c r="H110" s="79"/>
      <c r="I110" s="79"/>
      <c r="J110" s="79"/>
      <c r="K110" s="25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/>
      <c r="Z110"/>
      <c r="AH110" s="226"/>
    </row>
    <row r="111" spans="2:34" x14ac:dyDescent="0.3">
      <c r="B111" s="89" t="s">
        <v>708</v>
      </c>
      <c r="D111" s="32">
        <f t="shared" ref="D111:F111" si="49">$L111</f>
        <v>1009</v>
      </c>
      <c r="E111" s="32">
        <f t="shared" si="49"/>
        <v>1009</v>
      </c>
      <c r="F111" s="32">
        <f t="shared" si="49"/>
        <v>1009</v>
      </c>
      <c r="G111" s="32">
        <f>$L111</f>
        <v>1009</v>
      </c>
      <c r="L111" s="32">
        <v>1009</v>
      </c>
      <c r="M111" s="32">
        <v>1009</v>
      </c>
      <c r="N111" s="32">
        <v>1011</v>
      </c>
      <c r="O111" s="32">
        <v>1010</v>
      </c>
      <c r="P111" s="32">
        <v>1012</v>
      </c>
      <c r="Q111" s="32">
        <v>1061</v>
      </c>
      <c r="R111" s="32">
        <v>1064</v>
      </c>
      <c r="S111" s="32">
        <v>1040</v>
      </c>
      <c r="T111" s="32">
        <v>1052</v>
      </c>
      <c r="U111" s="32">
        <v>1061</v>
      </c>
      <c r="V111" s="32">
        <v>1059</v>
      </c>
      <c r="W111" s="32">
        <v>1065</v>
      </c>
      <c r="X111" s="32">
        <v>1073</v>
      </c>
    </row>
    <row r="112" spans="2:34" x14ac:dyDescent="0.3">
      <c r="B112" s="89" t="s">
        <v>364</v>
      </c>
      <c r="D112" s="32">
        <f t="shared" ref="D112:F112" si="50">ROUND($L112, -2)</f>
        <v>15500</v>
      </c>
      <c r="E112" s="32">
        <f t="shared" si="50"/>
        <v>15500</v>
      </c>
      <c r="F112" s="32">
        <f t="shared" si="50"/>
        <v>15500</v>
      </c>
      <c r="G112" s="32">
        <f>ROUND($L112, -2)</f>
        <v>15500</v>
      </c>
      <c r="L112" s="32">
        <v>15482</v>
      </c>
      <c r="M112" s="32">
        <v>15171</v>
      </c>
      <c r="N112" s="32">
        <v>15189</v>
      </c>
      <c r="O112" s="32">
        <v>16345</v>
      </c>
      <c r="P112" s="32">
        <v>17753</v>
      </c>
      <c r="Q112" s="32">
        <v>20681</v>
      </c>
      <c r="R112" s="32">
        <v>20684</v>
      </c>
      <c r="S112" s="32">
        <v>20404</v>
      </c>
      <c r="T112" s="32">
        <v>20402</v>
      </c>
      <c r="U112" s="32">
        <v>20408</v>
      </c>
      <c r="V112" s="32">
        <v>20082</v>
      </c>
      <c r="W112" s="32">
        <v>20359</v>
      </c>
      <c r="X112" s="32">
        <v>21226</v>
      </c>
    </row>
    <row r="113" spans="2:34" x14ac:dyDescent="0.3">
      <c r="B113" s="89" t="s">
        <v>262</v>
      </c>
      <c r="D113" s="32">
        <f t="shared" ref="D113:F113" si="51">ROUND(D22, -3)</f>
        <v>294000</v>
      </c>
      <c r="E113" s="32">
        <f t="shared" si="51"/>
        <v>291000</v>
      </c>
      <c r="F113" s="32">
        <f t="shared" si="51"/>
        <v>288000</v>
      </c>
      <c r="G113" s="32">
        <f>ROUND(G22, -3)</f>
        <v>283000</v>
      </c>
      <c r="L113" s="32">
        <v>278254</v>
      </c>
      <c r="M113" s="32">
        <v>276307</v>
      </c>
      <c r="N113" s="32">
        <v>271505</v>
      </c>
      <c r="O113" s="32">
        <v>268882</v>
      </c>
      <c r="P113" s="32">
        <v>266455</v>
      </c>
      <c r="Q113" s="32">
        <v>260709</v>
      </c>
      <c r="R113" s="32">
        <v>257295</v>
      </c>
      <c r="S113" s="32">
        <v>254230</v>
      </c>
      <c r="T113" s="32">
        <v>247504</v>
      </c>
      <c r="U113" s="32">
        <v>244083</v>
      </c>
      <c r="V113" s="32">
        <v>241023</v>
      </c>
      <c r="W113" s="32">
        <v>234184</v>
      </c>
      <c r="X113" s="32">
        <v>227372</v>
      </c>
    </row>
    <row r="114" spans="2:34" x14ac:dyDescent="0.3">
      <c r="B114" s="203" t="s">
        <v>263</v>
      </c>
      <c r="D114" s="152">
        <f t="shared" ref="D114:E114" ca="1" si="52">E114 + D43</f>
        <v>163202.78181377979</v>
      </c>
      <c r="E114" s="152">
        <f t="shared" ca="1" si="52"/>
        <v>170914.93326868259</v>
      </c>
      <c r="F114" s="152">
        <f ca="1">G114 + F43</f>
        <v>188022.95837003551</v>
      </c>
      <c r="G114" s="152">
        <f ca="1">L114 + G43</f>
        <v>240058.89671831936</v>
      </c>
      <c r="L114" s="152">
        <v>223536</v>
      </c>
      <c r="M114" s="152">
        <v>243795</v>
      </c>
      <c r="N114" s="152">
        <v>343156</v>
      </c>
      <c r="O114" s="152">
        <v>364396</v>
      </c>
      <c r="P114" s="152">
        <v>432531</v>
      </c>
      <c r="Q114" s="152">
        <v>617923</v>
      </c>
      <c r="R114" s="152">
        <v>603536</v>
      </c>
      <c r="S114" s="152">
        <v>605984</v>
      </c>
      <c r="T114" s="152">
        <v>545624</v>
      </c>
      <c r="U114" s="152">
        <v>710445</v>
      </c>
      <c r="V114" s="152">
        <v>716108</v>
      </c>
      <c r="W114" s="152">
        <v>684574</v>
      </c>
      <c r="X114" s="152">
        <v>706310</v>
      </c>
    </row>
    <row r="115" spans="2:34" s="234" customFormat="1" x14ac:dyDescent="0.3">
      <c r="B115" s="232" t="s">
        <v>709</v>
      </c>
      <c r="C115" s="233"/>
      <c r="D115" s="92">
        <v>0</v>
      </c>
      <c r="E115" s="92">
        <v>0</v>
      </c>
      <c r="F115" s="92">
        <v>0</v>
      </c>
      <c r="G115" s="92">
        <v>0</v>
      </c>
      <c r="H115" s="92"/>
      <c r="I115" s="92"/>
      <c r="J115" s="92"/>
      <c r="K115" s="233"/>
      <c r="L115" s="92">
        <v>0</v>
      </c>
      <c r="M115" s="92">
        <v>0</v>
      </c>
      <c r="N115" s="92">
        <v>-35029</v>
      </c>
      <c r="O115" s="92">
        <v>-43744</v>
      </c>
      <c r="P115" s="92">
        <v>-32672</v>
      </c>
      <c r="Q115" s="92">
        <v>-35148</v>
      </c>
      <c r="R115" s="92">
        <v>-34682</v>
      </c>
      <c r="S115" s="92">
        <v>-28672</v>
      </c>
      <c r="T115" s="92">
        <v>-33502</v>
      </c>
      <c r="U115" s="92">
        <v>-32144</v>
      </c>
      <c r="V115" s="92">
        <v>-38139</v>
      </c>
      <c r="W115" s="92">
        <v>-44773</v>
      </c>
      <c r="X115" s="92">
        <v>-20108</v>
      </c>
    </row>
    <row r="116" spans="2:34" s="234" customFormat="1" x14ac:dyDescent="0.3">
      <c r="B116" s="232" t="s">
        <v>710</v>
      </c>
      <c r="C116" s="233"/>
      <c r="D116" s="92">
        <v>0</v>
      </c>
      <c r="E116" s="92">
        <v>0</v>
      </c>
      <c r="F116" s="92">
        <v>0</v>
      </c>
      <c r="G116" s="92">
        <v>0</v>
      </c>
      <c r="H116" s="92"/>
      <c r="I116" s="92"/>
      <c r="J116" s="92"/>
      <c r="K116" s="233"/>
      <c r="L116" s="92">
        <v>0</v>
      </c>
      <c r="M116" s="92">
        <v>0</v>
      </c>
      <c r="N116" s="92">
        <v>-4527</v>
      </c>
      <c r="O116" s="92">
        <v>-4411</v>
      </c>
      <c r="P116" s="92">
        <v>-4296</v>
      </c>
      <c r="Q116" s="92">
        <v>-7906</v>
      </c>
      <c r="R116" s="92">
        <v>-8062</v>
      </c>
      <c r="S116" s="92">
        <v>-8218</v>
      </c>
      <c r="T116" s="92">
        <v>-10516</v>
      </c>
      <c r="U116" s="92">
        <v>-10662</v>
      </c>
      <c r="V116" s="92">
        <v>-10808</v>
      </c>
      <c r="W116" s="92">
        <v>-13487</v>
      </c>
      <c r="X116" s="92">
        <v>-13754</v>
      </c>
    </row>
    <row r="117" spans="2:34" x14ac:dyDescent="0.3">
      <c r="B117" s="89" t="s">
        <v>366</v>
      </c>
      <c r="D117" s="32">
        <f>ROUND(AVERAGE($L117:$O117), -2)</f>
        <v>-42500</v>
      </c>
      <c r="E117" s="32">
        <f t="shared" ref="E117:G117" si="53">ROUND(AVERAGE($L117:$O117), -2)</f>
        <v>-42500</v>
      </c>
      <c r="F117" s="32">
        <f t="shared" si="53"/>
        <v>-42500</v>
      </c>
      <c r="G117" s="32">
        <f t="shared" si="53"/>
        <v>-42500</v>
      </c>
      <c r="L117" s="32">
        <v>-39560</v>
      </c>
      <c r="M117" s="32">
        <v>-42603</v>
      </c>
      <c r="N117" s="32">
        <v>-39556</v>
      </c>
      <c r="O117" s="32">
        <v>-48155</v>
      </c>
      <c r="P117" s="32">
        <v>-36968</v>
      </c>
      <c r="Q117" s="32">
        <v>-43054</v>
      </c>
      <c r="R117" s="32">
        <v>-42744</v>
      </c>
      <c r="S117" s="32">
        <v>-36890</v>
      </c>
      <c r="T117" s="32">
        <v>-44018</v>
      </c>
      <c r="U117" s="32">
        <v>-42806</v>
      </c>
      <c r="V117" s="32">
        <v>-48947</v>
      </c>
      <c r="W117" s="32">
        <v>-58260</v>
      </c>
      <c r="X117" s="32">
        <v>-33862</v>
      </c>
    </row>
    <row r="118" spans="2:34" x14ac:dyDescent="0.3">
      <c r="B118" s="89" t="s">
        <v>264</v>
      </c>
      <c r="D118" s="32">
        <f t="shared" ref="D118:F118" si="54">$L118</f>
        <v>17857</v>
      </c>
      <c r="E118" s="32">
        <f t="shared" si="54"/>
        <v>17857</v>
      </c>
      <c r="F118" s="32">
        <f t="shared" si="54"/>
        <v>17857</v>
      </c>
      <c r="G118" s="32">
        <f>$L118</f>
        <v>17857</v>
      </c>
      <c r="L118" s="32">
        <v>17857</v>
      </c>
      <c r="M118" s="32">
        <v>17857</v>
      </c>
      <c r="N118" s="32">
        <v>17857</v>
      </c>
      <c r="O118" s="32">
        <v>17857</v>
      </c>
      <c r="P118" s="32">
        <v>17857</v>
      </c>
      <c r="Q118" s="32">
        <v>17857</v>
      </c>
      <c r="R118" s="32">
        <v>17857</v>
      </c>
      <c r="S118" s="32">
        <v>17857</v>
      </c>
      <c r="T118" s="32">
        <v>17857</v>
      </c>
      <c r="U118" s="32">
        <v>17857</v>
      </c>
      <c r="V118" s="32">
        <v>17857</v>
      </c>
      <c r="W118" s="32">
        <v>17857</v>
      </c>
      <c r="X118" s="32">
        <v>17857</v>
      </c>
    </row>
    <row r="119" spans="2:34" s="39" customFormat="1" x14ac:dyDescent="0.3">
      <c r="B119" s="76" t="s">
        <v>711</v>
      </c>
      <c r="C119" s="25"/>
      <c r="D119" s="77">
        <f t="shared" ref="D119:F119" ca="1" si="55">SUM(D111:D114, D117, -D118)</f>
        <v>413354.78181377979</v>
      </c>
      <c r="E119" s="77">
        <f t="shared" ca="1" si="55"/>
        <v>418066.93326868257</v>
      </c>
      <c r="F119" s="77">
        <f t="shared" ca="1" si="55"/>
        <v>432174.95837003551</v>
      </c>
      <c r="G119" s="77">
        <f ca="1">SUM(G111:G114, G117, -G118)</f>
        <v>479210.89671831939</v>
      </c>
      <c r="H119" s="77"/>
      <c r="I119" s="77"/>
      <c r="J119" s="77"/>
      <c r="K119" s="25"/>
      <c r="L119" s="77">
        <f t="shared" ref="L119:X119" si="56">SUM(L111:L114, L117, -L118)</f>
        <v>460864</v>
      </c>
      <c r="M119" s="77">
        <f t="shared" si="56"/>
        <v>475822</v>
      </c>
      <c r="N119" s="77">
        <f t="shared" si="56"/>
        <v>573448</v>
      </c>
      <c r="O119" s="77">
        <f t="shared" si="56"/>
        <v>584621</v>
      </c>
      <c r="P119" s="77">
        <f t="shared" si="56"/>
        <v>662926</v>
      </c>
      <c r="Q119" s="77">
        <f t="shared" si="56"/>
        <v>839463</v>
      </c>
      <c r="R119" s="77">
        <f t="shared" si="56"/>
        <v>821978</v>
      </c>
      <c r="S119" s="77">
        <f t="shared" si="56"/>
        <v>826911</v>
      </c>
      <c r="T119" s="77">
        <f t="shared" si="56"/>
        <v>752707</v>
      </c>
      <c r="U119" s="77">
        <f t="shared" si="56"/>
        <v>915334</v>
      </c>
      <c r="V119" s="77">
        <f t="shared" si="56"/>
        <v>911468</v>
      </c>
      <c r="W119" s="77">
        <f t="shared" si="56"/>
        <v>864065</v>
      </c>
      <c r="X119" s="77">
        <f t="shared" si="56"/>
        <v>904262</v>
      </c>
      <c r="Y119"/>
      <c r="Z119"/>
      <c r="AH119" s="226"/>
    </row>
    <row r="120" spans="2:34" x14ac:dyDescent="0.3">
      <c r="B120" s="89" t="s">
        <v>845</v>
      </c>
      <c r="D120" s="32">
        <f t="shared" ref="D120:G120" si="57">$L120</f>
        <v>0</v>
      </c>
      <c r="E120" s="32">
        <f t="shared" si="57"/>
        <v>0</v>
      </c>
      <c r="F120" s="32">
        <f t="shared" si="57"/>
        <v>0</v>
      </c>
      <c r="G120" s="32">
        <f t="shared" si="57"/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0</v>
      </c>
      <c r="Q120" s="32">
        <v>2298</v>
      </c>
      <c r="R120" s="32">
        <v>2180</v>
      </c>
      <c r="S120" s="32">
        <v>1928</v>
      </c>
      <c r="T120" s="32">
        <v>1693</v>
      </c>
      <c r="U120" s="32">
        <v>1563</v>
      </c>
      <c r="V120" s="32">
        <v>1394</v>
      </c>
      <c r="W120" s="32">
        <v>1668</v>
      </c>
      <c r="X120" s="32">
        <v>1424</v>
      </c>
    </row>
    <row r="121" spans="2:34" s="39" customFormat="1" x14ac:dyDescent="0.3">
      <c r="B121" s="76" t="s">
        <v>712</v>
      </c>
      <c r="C121" s="25"/>
      <c r="D121" s="77">
        <f t="shared" ref="D121:G121" ca="1" si="58">SUM(D111:D114, D117, -D118, D120)</f>
        <v>413354.78181377979</v>
      </c>
      <c r="E121" s="77">
        <f t="shared" ca="1" si="58"/>
        <v>418066.93326868257</v>
      </c>
      <c r="F121" s="77">
        <f t="shared" ca="1" si="58"/>
        <v>432174.95837003551</v>
      </c>
      <c r="G121" s="77">
        <f t="shared" ca="1" si="58"/>
        <v>479210.89671831939</v>
      </c>
      <c r="H121" s="77"/>
      <c r="I121" s="77"/>
      <c r="J121" s="77"/>
      <c r="K121" s="25"/>
      <c r="L121" s="77">
        <f>SUM(L111:L114, L117, -L118, L120)</f>
        <v>460864</v>
      </c>
      <c r="M121" s="77">
        <f t="shared" ref="M121:X121" si="59">SUM(M111:M114, M117, -M118, M120)</f>
        <v>475822</v>
      </c>
      <c r="N121" s="77">
        <f t="shared" si="59"/>
        <v>573448</v>
      </c>
      <c r="O121" s="77">
        <f t="shared" si="59"/>
        <v>584621</v>
      </c>
      <c r="P121" s="77">
        <f t="shared" si="59"/>
        <v>662926</v>
      </c>
      <c r="Q121" s="77">
        <f t="shared" si="59"/>
        <v>841761</v>
      </c>
      <c r="R121" s="77">
        <f t="shared" si="59"/>
        <v>824158</v>
      </c>
      <c r="S121" s="77">
        <f t="shared" si="59"/>
        <v>828839</v>
      </c>
      <c r="T121" s="77">
        <f t="shared" si="59"/>
        <v>754400</v>
      </c>
      <c r="U121" s="77">
        <f t="shared" si="59"/>
        <v>916897</v>
      </c>
      <c r="V121" s="77">
        <f t="shared" si="59"/>
        <v>912862</v>
      </c>
      <c r="W121" s="77">
        <f t="shared" si="59"/>
        <v>865733</v>
      </c>
      <c r="X121" s="77">
        <f t="shared" si="59"/>
        <v>905686</v>
      </c>
      <c r="Y121"/>
      <c r="Z121"/>
      <c r="AH121" s="226"/>
    </row>
    <row r="123" spans="2:34" s="64" customFormat="1" hidden="1" outlineLevel="1" x14ac:dyDescent="0.3">
      <c r="B123" s="56" t="s">
        <v>266</v>
      </c>
      <c r="C123" s="3"/>
      <c r="D123" s="57"/>
      <c r="E123" s="57"/>
      <c r="F123" s="57"/>
      <c r="G123" s="57"/>
      <c r="H123" s="57"/>
      <c r="I123" s="57"/>
      <c r="J123" s="57"/>
      <c r="K123" s="3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</row>
    <row r="124" spans="2:34" hidden="1" outlineLevel="1" x14ac:dyDescent="0.3">
      <c r="B124" s="30" t="s">
        <v>330</v>
      </c>
    </row>
    <row r="125" spans="2:34" hidden="1" outlineLevel="1" x14ac:dyDescent="0.3">
      <c r="B125" s="30" t="s">
        <v>566</v>
      </c>
    </row>
    <row r="126" spans="2:34" hidden="1" outlineLevel="1" x14ac:dyDescent="0.3">
      <c r="B126" s="30" t="s">
        <v>713</v>
      </c>
    </row>
    <row r="127" spans="2:34" hidden="1" outlineLevel="1" x14ac:dyDescent="0.3">
      <c r="B127" s="30" t="s">
        <v>376</v>
      </c>
    </row>
    <row r="128" spans="2:34" hidden="1" outlineLevel="1" x14ac:dyDescent="0.3">
      <c r="B128" s="30" t="s">
        <v>714</v>
      </c>
    </row>
    <row r="129" spans="2:2" hidden="1" outlineLevel="1" x14ac:dyDescent="0.3">
      <c r="B129" s="30" t="s">
        <v>715</v>
      </c>
    </row>
    <row r="130" spans="2:2" hidden="1" outlineLevel="1" x14ac:dyDescent="0.3">
      <c r="B130" s="30" t="s">
        <v>321</v>
      </c>
    </row>
    <row r="131" spans="2:2" hidden="1" outlineLevel="1" x14ac:dyDescent="0.3">
      <c r="B131" s="30" t="s">
        <v>716</v>
      </c>
    </row>
    <row r="132" spans="2:2" hidden="1" outlineLevel="1" x14ac:dyDescent="0.3">
      <c r="B132" s="30" t="s">
        <v>717</v>
      </c>
    </row>
    <row r="133" spans="2:2" hidden="1" outlineLevel="1" x14ac:dyDescent="0.3">
      <c r="B133" s="30" t="s">
        <v>718</v>
      </c>
    </row>
    <row r="134" spans="2:2" hidden="1" outlineLevel="1" x14ac:dyDescent="0.3">
      <c r="B134" s="30" t="s">
        <v>700</v>
      </c>
    </row>
    <row r="135" spans="2:2" hidden="1" outlineLevel="1" x14ac:dyDescent="0.3">
      <c r="B135" s="30" t="s">
        <v>719</v>
      </c>
    </row>
    <row r="136" spans="2:2" hidden="1" outlineLevel="1" x14ac:dyDescent="0.3">
      <c r="B136" s="30" t="s">
        <v>720</v>
      </c>
    </row>
    <row r="137" spans="2:2" hidden="1" outlineLevel="1" x14ac:dyDescent="0.3">
      <c r="B137" s="30" t="s">
        <v>572</v>
      </c>
    </row>
    <row r="138" spans="2:2" hidden="1" outlineLevel="1" x14ac:dyDescent="0.3">
      <c r="B138" s="30" t="s">
        <v>384</v>
      </c>
    </row>
    <row r="139" spans="2:2" hidden="1" outlineLevel="1" x14ac:dyDescent="0.3">
      <c r="B139" s="30" t="s">
        <v>574</v>
      </c>
    </row>
    <row r="140" spans="2:2" hidden="1" outlineLevel="1" x14ac:dyDescent="0.3">
      <c r="B140" s="30" t="s">
        <v>687</v>
      </c>
    </row>
    <row r="141" spans="2:2" hidden="1" outlineLevel="1" x14ac:dyDescent="0.3">
      <c r="B141" s="30" t="s">
        <v>246</v>
      </c>
    </row>
    <row r="142" spans="2:2" hidden="1" outlineLevel="1" x14ac:dyDescent="0.3">
      <c r="B142" s="30" t="s">
        <v>699</v>
      </c>
    </row>
    <row r="143" spans="2:2" hidden="1" outlineLevel="1" x14ac:dyDescent="0.3">
      <c r="B143" s="30" t="s">
        <v>721</v>
      </c>
    </row>
    <row r="144" spans="2:2" hidden="1" outlineLevel="1" x14ac:dyDescent="0.3">
      <c r="B144" s="30" t="s">
        <v>281</v>
      </c>
    </row>
    <row r="145" spans="2:2" hidden="1" outlineLevel="1" x14ac:dyDescent="0.3">
      <c r="B145" s="30" t="s">
        <v>661</v>
      </c>
    </row>
    <row r="146" spans="2:2" hidden="1" outlineLevel="1" x14ac:dyDescent="0.3">
      <c r="B146" s="30" t="s">
        <v>722</v>
      </c>
    </row>
    <row r="147" spans="2:2" hidden="1" outlineLevel="1" x14ac:dyDescent="0.3">
      <c r="B147" s="30" t="s">
        <v>583</v>
      </c>
    </row>
    <row r="148" spans="2:2" hidden="1" outlineLevel="1" x14ac:dyDescent="0.3">
      <c r="B148" s="30" t="s">
        <v>723</v>
      </c>
    </row>
    <row r="149" spans="2:2" hidden="1" outlineLevel="1" x14ac:dyDescent="0.3">
      <c r="B149" s="30" t="s">
        <v>724</v>
      </c>
    </row>
    <row r="150" spans="2:2" hidden="1" outlineLevel="1" x14ac:dyDescent="0.3">
      <c r="B150" s="30" t="s">
        <v>725</v>
      </c>
    </row>
    <row r="151" spans="2:2" hidden="1" outlineLevel="1" x14ac:dyDescent="0.3">
      <c r="B151" s="30" t="s">
        <v>287</v>
      </c>
    </row>
    <row r="152" spans="2:2" hidden="1" outlineLevel="1" x14ac:dyDescent="0.3">
      <c r="B152" s="30" t="s">
        <v>726</v>
      </c>
    </row>
    <row r="153" spans="2:2" hidden="1" outlineLevel="1" x14ac:dyDescent="0.3">
      <c r="B153" s="30" t="s">
        <v>727</v>
      </c>
    </row>
    <row r="154" spans="2:2" hidden="1" outlineLevel="1" x14ac:dyDescent="0.3">
      <c r="B154" s="30" t="s">
        <v>728</v>
      </c>
    </row>
    <row r="155" spans="2:2" hidden="1" outlineLevel="1" x14ac:dyDescent="0.3">
      <c r="B155" s="30" t="s">
        <v>729</v>
      </c>
    </row>
    <row r="156" spans="2:2" hidden="1" outlineLevel="1" x14ac:dyDescent="0.3">
      <c r="B156" s="30" t="s">
        <v>730</v>
      </c>
    </row>
    <row r="157" spans="2:2" hidden="1" outlineLevel="1" x14ac:dyDescent="0.3">
      <c r="B157" s="30" t="s">
        <v>731</v>
      </c>
    </row>
    <row r="158" spans="2:2" hidden="1" outlineLevel="1" x14ac:dyDescent="0.3">
      <c r="B158" s="30" t="s">
        <v>732</v>
      </c>
    </row>
    <row r="159" spans="2:2" hidden="1" outlineLevel="1" x14ac:dyDescent="0.3">
      <c r="B159" s="30" t="s">
        <v>733</v>
      </c>
    </row>
    <row r="160" spans="2:2" hidden="1" outlineLevel="1" x14ac:dyDescent="0.3">
      <c r="B160" s="30" t="s">
        <v>734</v>
      </c>
    </row>
    <row r="161" spans="2:2" hidden="1" outlineLevel="1" x14ac:dyDescent="0.3">
      <c r="B161" s="30" t="s">
        <v>735</v>
      </c>
    </row>
    <row r="162" spans="2:2" hidden="1" outlineLevel="1" x14ac:dyDescent="0.3">
      <c r="B162" s="30" t="s">
        <v>298</v>
      </c>
    </row>
    <row r="163" spans="2:2" hidden="1" outlineLevel="1" x14ac:dyDescent="0.3">
      <c r="B163" s="30" t="s">
        <v>736</v>
      </c>
    </row>
    <row r="164" spans="2:2" hidden="1" outlineLevel="1" x14ac:dyDescent="0.3">
      <c r="B164" s="30" t="s">
        <v>475</v>
      </c>
    </row>
    <row r="165" spans="2:2" hidden="1" outlineLevel="1" x14ac:dyDescent="0.3">
      <c r="B165" s="30" t="s">
        <v>408</v>
      </c>
    </row>
    <row r="166" spans="2:2" hidden="1" outlineLevel="1" x14ac:dyDescent="0.3">
      <c r="B166" s="30" t="s">
        <v>409</v>
      </c>
    </row>
    <row r="167" spans="2:2" hidden="1" outlineLevel="1" x14ac:dyDescent="0.3">
      <c r="B167" s="30" t="s">
        <v>737</v>
      </c>
    </row>
    <row r="168" spans="2:2" hidden="1" outlineLevel="1" x14ac:dyDescent="0.3">
      <c r="B168" s="30" t="s">
        <v>738</v>
      </c>
    </row>
    <row r="169" spans="2:2" collapsed="1" x14ac:dyDescent="0.3"/>
  </sheetData>
  <sheetProtection formatCells="0" formatColumns="0" formatRows="0" insertColumns="0" insertRows="0" insertHyperlinks="0" deleteColumns="0" deleteRows="0" sort="0" autoFilter="0" pivotTables="0"/>
  <dataValidations disablePrompts="1" count="1">
    <dataValidation type="list" allowBlank="1" showInputMessage="1" showErrorMessage="1" sqref="G8:G9" xr:uid="{D45C8D83-0B72-40D7-A3BD-99502F216CF0}">
      <formula1>"TRUE,FALSE"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79BBD17-2659-4217-8C99-E3FAF6C5FA7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GCO!L13:U13</xm:f>
              <xm:sqref>V13</xm:sqref>
            </x14:sparkline>
            <x14:sparkline>
              <xm:f>GCO!L14:U14</xm:f>
              <xm:sqref>V14</xm:sqref>
            </x14:sparkline>
            <x14:sparkline>
              <xm:f>GCO!L15:U15</xm:f>
              <xm:sqref>V15</xm:sqref>
            </x14:sparkline>
            <x14:sparkline>
              <xm:f>GCO!L16:U16</xm:f>
              <xm:sqref>V16</xm:sqref>
            </x14:sparkline>
            <x14:sparkline>
              <xm:f>GCO!L17:U17</xm:f>
              <xm:sqref>V17</xm:sqref>
            </x14:sparkline>
            <x14:sparkline>
              <xm:f>GCO!L18:U18</xm:f>
              <xm:sqref>V18</xm:sqref>
            </x14:sparkline>
            <x14:sparkline>
              <xm:f>GCO!L19:U19</xm:f>
              <xm:sqref>V19</xm:sqref>
            </x14:sparkline>
            <x14:sparkline>
              <xm:f>GCO!L20:U20</xm:f>
              <xm:sqref>V20</xm:sqref>
            </x14:sparkline>
            <x14:sparkline>
              <xm:f>GCO!L21:U21</xm:f>
              <xm:sqref>V21</xm:sqref>
            </x14:sparkline>
            <x14:sparkline>
              <xm:f>GCO!L22:U22</xm:f>
              <xm:sqref>V22</xm:sqref>
            </x14:sparkline>
          </x14:sparklines>
        </x14:sparklineGroup>
        <x14:sparklineGroup displayEmptyCellsAs="gap" xr2:uid="{BE0D6494-2244-491A-AE69-B3E8C60E93C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GCO!L12:U12</xm:f>
              <xm:sqref>V12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3CA2-F47A-472E-A421-258133F20DE7}">
  <sheetPr>
    <tabColor theme="4" tint="0.79998168889431442"/>
  </sheetPr>
  <dimension ref="B1:AC187"/>
  <sheetViews>
    <sheetView workbookViewId="0"/>
  </sheetViews>
  <sheetFormatPr defaultColWidth="9.109375" defaultRowHeight="14.4" outlineLevelRow="1" x14ac:dyDescent="0.3"/>
  <cols>
    <col min="1" max="1" width="2.6640625" style="24" customWidth="1"/>
    <col min="2" max="2" width="50" style="24" customWidth="1"/>
    <col min="3" max="3" width="2.6640625" customWidth="1"/>
    <col min="4" max="10" width="12" style="32" customWidth="1"/>
    <col min="11" max="11" width="2.6640625" customWidth="1"/>
    <col min="12" max="26" width="12" style="32" customWidth="1"/>
    <col min="27" max="195" width="12" style="24" customWidth="1"/>
    <col min="196" max="16384" width="9.109375" style="24"/>
  </cols>
  <sheetData>
    <row r="1" spans="2:29" ht="6.9" customHeight="1" x14ac:dyDescent="0.3"/>
    <row r="3" spans="2:29" x14ac:dyDescent="0.3">
      <c r="AA3" s="32"/>
      <c r="AB3" s="32"/>
      <c r="AC3" s="32"/>
    </row>
    <row r="5" spans="2:29" ht="6.9" customHeight="1" x14ac:dyDescent="0.3"/>
    <row r="6" spans="2:29" s="36" customFormat="1" ht="22.8" x14ac:dyDescent="0.4">
      <c r="B6" s="37" t="s">
        <v>739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2:29" s="58" customFormat="1" x14ac:dyDescent="0.3">
      <c r="C7" s="3"/>
      <c r="D7" s="59"/>
      <c r="E7" s="59"/>
      <c r="F7" s="59"/>
      <c r="G7" s="59"/>
      <c r="H7" s="59"/>
      <c r="I7" s="59"/>
      <c r="J7" s="59"/>
      <c r="K7" s="3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2:29" s="25" customFormat="1" hidden="1" outlineLevel="1" x14ac:dyDescent="0.3">
      <c r="B8" s="54" t="s">
        <v>183</v>
      </c>
      <c r="C8"/>
      <c r="D8" s="63">
        <f>D23</f>
        <v>44561</v>
      </c>
      <c r="E8" s="63">
        <f t="shared" ref="E8:G8" si="0">E23</f>
        <v>44377</v>
      </c>
      <c r="F8" s="63">
        <f t="shared" si="0"/>
        <v>44286</v>
      </c>
      <c r="G8" s="63">
        <f t="shared" si="0"/>
        <v>44196</v>
      </c>
      <c r="H8" s="63"/>
      <c r="I8" s="63"/>
      <c r="J8" s="63"/>
      <c r="K8"/>
      <c r="L8" s="63">
        <f t="shared" ref="L8:Y8" si="1">L23</f>
        <v>44012</v>
      </c>
      <c r="M8" s="63">
        <f t="shared" si="1"/>
        <v>43921</v>
      </c>
      <c r="N8" s="63">
        <f t="shared" si="1"/>
        <v>43830</v>
      </c>
      <c r="O8" s="63">
        <f t="shared" si="1"/>
        <v>43646</v>
      </c>
      <c r="P8" s="63">
        <f t="shared" si="1"/>
        <v>43555</v>
      </c>
      <c r="Q8" s="63">
        <f t="shared" si="1"/>
        <v>43465</v>
      </c>
      <c r="R8" s="63">
        <f t="shared" si="1"/>
        <v>43281</v>
      </c>
      <c r="S8" s="63">
        <f t="shared" si="1"/>
        <v>43190</v>
      </c>
      <c r="T8" s="63">
        <f t="shared" si="1"/>
        <v>43100</v>
      </c>
      <c r="U8" s="63">
        <f t="shared" si="1"/>
        <v>42916</v>
      </c>
      <c r="V8" s="63">
        <f t="shared" si="1"/>
        <v>42825</v>
      </c>
      <c r="W8" s="63">
        <f t="shared" si="1"/>
        <v>42735</v>
      </c>
      <c r="X8" s="63">
        <f t="shared" si="1"/>
        <v>42551</v>
      </c>
      <c r="Y8" s="63">
        <f t="shared" si="1"/>
        <v>42460</v>
      </c>
      <c r="Z8" s="63">
        <v>42369</v>
      </c>
    </row>
    <row r="9" spans="2:29" hidden="1" outlineLevel="1" x14ac:dyDescent="0.3">
      <c r="B9" s="30" t="s">
        <v>606</v>
      </c>
      <c r="D9" s="62"/>
      <c r="E9" s="60"/>
      <c r="F9" s="60"/>
      <c r="G9" s="60"/>
      <c r="H9" s="60"/>
      <c r="I9" s="60"/>
      <c r="J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2:29" hidden="1" outlineLevel="1" x14ac:dyDescent="0.3">
      <c r="B10" s="30" t="s">
        <v>414</v>
      </c>
      <c r="D10" s="60"/>
      <c r="E10" s="60"/>
      <c r="F10" s="60"/>
      <c r="G10" s="60"/>
      <c r="H10" s="60"/>
      <c r="I10" s="60"/>
      <c r="J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2:29" hidden="1" outlineLevel="1" x14ac:dyDescent="0.3">
      <c r="B11" s="30" t="s">
        <v>189</v>
      </c>
      <c r="D11" s="60"/>
      <c r="E11" s="60"/>
      <c r="F11" s="60"/>
      <c r="G11" s="60"/>
      <c r="H11" s="60"/>
      <c r="I11" s="60"/>
      <c r="J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2:29" hidden="1" outlineLevel="1" x14ac:dyDescent="0.3">
      <c r="B12" s="30" t="s">
        <v>415</v>
      </c>
      <c r="D12" s="60"/>
      <c r="E12" s="60"/>
      <c r="F12" s="60"/>
      <c r="G12" s="60"/>
      <c r="H12" s="60"/>
      <c r="I12" s="60"/>
      <c r="J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2:29" hidden="1" outlineLevel="1" x14ac:dyDescent="0.3">
      <c r="B13" s="30" t="s">
        <v>190</v>
      </c>
      <c r="D13" s="60"/>
      <c r="E13" s="60"/>
      <c r="F13" s="60"/>
      <c r="G13" s="60"/>
      <c r="H13" s="60"/>
      <c r="I13" s="60"/>
      <c r="J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2:29" hidden="1" outlineLevel="1" x14ac:dyDescent="0.3">
      <c r="B14" s="30" t="s">
        <v>191</v>
      </c>
      <c r="D14" s="60"/>
      <c r="E14" s="60"/>
      <c r="F14" s="60"/>
      <c r="G14" s="60"/>
      <c r="H14" s="60"/>
      <c r="I14" s="60"/>
      <c r="J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2:29" hidden="1" outlineLevel="1" x14ac:dyDescent="0.3">
      <c r="B15" s="30" t="s">
        <v>416</v>
      </c>
      <c r="D15" s="60"/>
      <c r="E15" s="60"/>
      <c r="F15" s="60"/>
      <c r="G15" s="60"/>
      <c r="H15" s="60"/>
      <c r="I15" s="60"/>
      <c r="J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2:29" hidden="1" outlineLevel="1" x14ac:dyDescent="0.3">
      <c r="B16" s="30" t="s">
        <v>192</v>
      </c>
      <c r="D16" s="60"/>
      <c r="E16" s="60"/>
      <c r="F16" s="60"/>
      <c r="G16" s="60"/>
      <c r="H16" s="60"/>
      <c r="I16" s="60"/>
      <c r="J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2:26" hidden="1" outlineLevel="1" x14ac:dyDescent="0.3">
      <c r="B17" s="30"/>
      <c r="D17" s="61"/>
      <c r="E17" s="61"/>
      <c r="F17" s="61"/>
      <c r="G17" s="61"/>
      <c r="H17" s="61"/>
      <c r="I17" s="61"/>
      <c r="J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2:26" hidden="1" outlineLevel="1" x14ac:dyDescent="0.3">
      <c r="B18" s="30" t="s">
        <v>417</v>
      </c>
      <c r="D18" s="60"/>
      <c r="E18" s="60"/>
      <c r="F18" s="60"/>
      <c r="G18" s="60"/>
      <c r="H18" s="60"/>
      <c r="I18" s="60"/>
      <c r="J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2:26" hidden="1" outlineLevel="1" x14ac:dyDescent="0.3">
      <c r="B19" s="30" t="s">
        <v>418</v>
      </c>
      <c r="D19" s="60"/>
      <c r="E19" s="60"/>
      <c r="F19" s="60"/>
      <c r="G19" s="60"/>
      <c r="H19" s="60"/>
      <c r="I19" s="60"/>
      <c r="J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2:26" hidden="1" outlineLevel="1" x14ac:dyDescent="0.3">
      <c r="B20" s="30" t="s">
        <v>419</v>
      </c>
      <c r="D20" s="60"/>
      <c r="E20" s="60"/>
      <c r="F20" s="60"/>
      <c r="G20" s="60"/>
      <c r="H20" s="60"/>
      <c r="I20" s="60"/>
      <c r="J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2:26" collapsed="1" x14ac:dyDescent="0.3"/>
    <row r="22" spans="2:26" s="43" customFormat="1" ht="15.9" customHeight="1" x14ac:dyDescent="0.3">
      <c r="B22" s="50" t="s">
        <v>193</v>
      </c>
      <c r="C22" s="41"/>
      <c r="D22" s="52" t="s">
        <v>194</v>
      </c>
      <c r="E22" s="51"/>
      <c r="F22" s="51"/>
      <c r="G22" s="51"/>
      <c r="H22" s="51"/>
      <c r="I22" s="51"/>
      <c r="J22" s="51"/>
      <c r="K22" s="41"/>
      <c r="L22" s="51" t="s">
        <v>195</v>
      </c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2:26" s="48" customFormat="1" ht="15.9" customHeight="1" x14ac:dyDescent="0.3">
      <c r="B23" s="44" t="s">
        <v>196</v>
      </c>
      <c r="C23" s="45"/>
      <c r="D23" s="46">
        <f>EDATE(G23, 12)</f>
        <v>44561</v>
      </c>
      <c r="E23" s="46">
        <f t="shared" ref="E23:F23" si="2">EDATE(L23, 12)</f>
        <v>44377</v>
      </c>
      <c r="F23" s="46">
        <f t="shared" si="2"/>
        <v>44286</v>
      </c>
      <c r="G23" s="46">
        <f>EDATE(N23, 12)</f>
        <v>44196</v>
      </c>
      <c r="H23" s="46"/>
      <c r="I23" s="46"/>
      <c r="J23" s="46"/>
      <c r="K23" s="45"/>
      <c r="L23" s="46">
        <v>44012</v>
      </c>
      <c r="M23" s="46">
        <v>43921</v>
      </c>
      <c r="N23" s="46">
        <v>43830</v>
      </c>
      <c r="O23" s="46">
        <v>43646</v>
      </c>
      <c r="P23" s="46">
        <v>43555</v>
      </c>
      <c r="Q23" s="46">
        <v>43465</v>
      </c>
      <c r="R23" s="46">
        <v>43281</v>
      </c>
      <c r="S23" s="46">
        <v>43190</v>
      </c>
      <c r="T23" s="46">
        <v>43100</v>
      </c>
      <c r="U23" s="46">
        <v>42916</v>
      </c>
      <c r="V23" s="46">
        <v>42825</v>
      </c>
      <c r="W23" s="46">
        <v>42735</v>
      </c>
      <c r="X23" s="46">
        <v>42551</v>
      </c>
      <c r="Y23" s="46">
        <v>42460</v>
      </c>
      <c r="Z23" s="46">
        <v>42369</v>
      </c>
    </row>
    <row r="24" spans="2:26" s="48" customFormat="1" ht="15.9" customHeight="1" x14ac:dyDescent="0.3">
      <c r="B24" s="44" t="s">
        <v>197</v>
      </c>
      <c r="C24" s="45"/>
      <c r="D24" s="49" t="str">
        <f>G24</f>
        <v>1st Quarter</v>
      </c>
      <c r="E24" s="49" t="str">
        <f t="shared" ref="E24:F24" si="3">L24</f>
        <v>3rd Quarter</v>
      </c>
      <c r="F24" s="49" t="str">
        <f t="shared" si="3"/>
        <v>2nd Quarter</v>
      </c>
      <c r="G24" s="49" t="str">
        <f>N24</f>
        <v>1st Quarter</v>
      </c>
      <c r="H24" s="49"/>
      <c r="I24" s="49"/>
      <c r="J24" s="49"/>
      <c r="K24" s="45"/>
      <c r="L24" s="47" t="s">
        <v>200</v>
      </c>
      <c r="M24" s="47" t="s">
        <v>198</v>
      </c>
      <c r="N24" s="47" t="s">
        <v>199</v>
      </c>
      <c r="O24" s="47" t="s">
        <v>200</v>
      </c>
      <c r="P24" s="47" t="s">
        <v>198</v>
      </c>
      <c r="Q24" s="47" t="s">
        <v>199</v>
      </c>
      <c r="R24" s="47" t="s">
        <v>200</v>
      </c>
      <c r="S24" s="47" t="s">
        <v>198</v>
      </c>
      <c r="T24" s="47" t="s">
        <v>199</v>
      </c>
      <c r="U24" s="47" t="s">
        <v>200</v>
      </c>
      <c r="V24" s="47" t="s">
        <v>198</v>
      </c>
      <c r="W24" s="47" t="s">
        <v>199</v>
      </c>
      <c r="X24" s="47" t="s">
        <v>200</v>
      </c>
      <c r="Y24" s="47" t="s">
        <v>198</v>
      </c>
      <c r="Z24" s="47" t="s">
        <v>199</v>
      </c>
    </row>
    <row r="25" spans="2:26" s="25" customFormat="1" x14ac:dyDescent="0.3">
      <c r="B25" s="26" t="s">
        <v>201</v>
      </c>
      <c r="C25"/>
      <c r="D25" s="33"/>
      <c r="E25" s="33"/>
      <c r="F25" s="33"/>
      <c r="G25" s="33"/>
      <c r="H25" s="33"/>
      <c r="I25" s="33"/>
      <c r="J25" s="33"/>
      <c r="K25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2:26" x14ac:dyDescent="0.3">
      <c r="B26" s="30" t="s">
        <v>740</v>
      </c>
      <c r="L26" s="32">
        <v>7623</v>
      </c>
      <c r="M26" s="32">
        <v>16919</v>
      </c>
      <c r="N26" s="32">
        <v>20743</v>
      </c>
      <c r="O26" s="32">
        <v>19570</v>
      </c>
      <c r="P26" s="32">
        <v>18486</v>
      </c>
      <c r="Q26" s="32">
        <v>18310</v>
      </c>
      <c r="R26" s="32">
        <v>17658</v>
      </c>
      <c r="S26" s="32">
        <v>17372</v>
      </c>
      <c r="T26" s="32">
        <v>17805</v>
      </c>
      <c r="U26" s="32">
        <v>15475</v>
      </c>
      <c r="V26" s="32">
        <v>14235</v>
      </c>
      <c r="W26" s="32">
        <v>14375</v>
      </c>
      <c r="X26" s="32">
        <v>14333</v>
      </c>
      <c r="Y26" s="32">
        <v>14581</v>
      </c>
      <c r="Z26" s="32">
        <v>14597</v>
      </c>
    </row>
    <row r="27" spans="2:26" x14ac:dyDescent="0.3">
      <c r="B27" s="30" t="s">
        <v>741</v>
      </c>
      <c r="L27" s="32">
        <v>3452</v>
      </c>
      <c r="M27" s="32">
        <v>6479</v>
      </c>
      <c r="N27" s="32">
        <v>7447</v>
      </c>
      <c r="O27" s="32">
        <v>7046</v>
      </c>
      <c r="P27" s="32">
        <v>6439</v>
      </c>
      <c r="Q27" s="32">
        <v>5690</v>
      </c>
      <c r="R27" s="32">
        <v>6175</v>
      </c>
      <c r="S27" s="32">
        <v>5424</v>
      </c>
      <c r="T27" s="32">
        <v>5307</v>
      </c>
      <c r="U27" s="32">
        <v>4641</v>
      </c>
      <c r="V27" s="32">
        <v>4353</v>
      </c>
      <c r="W27" s="32">
        <v>4207</v>
      </c>
      <c r="X27" s="32">
        <v>4614</v>
      </c>
      <c r="Y27" s="32">
        <v>4609</v>
      </c>
      <c r="Z27" s="32">
        <v>4334</v>
      </c>
    </row>
    <row r="28" spans="2:26" x14ac:dyDescent="0.3">
      <c r="B28" s="30" t="s">
        <v>742</v>
      </c>
      <c r="L28" s="32">
        <v>2907</v>
      </c>
      <c r="M28" s="32">
        <v>14348</v>
      </c>
      <c r="N28" s="32">
        <v>17193</v>
      </c>
      <c r="O28" s="32">
        <v>17299</v>
      </c>
      <c r="P28" s="32">
        <v>16979</v>
      </c>
      <c r="Q28" s="32">
        <v>17331</v>
      </c>
      <c r="R28" s="32">
        <v>16316</v>
      </c>
      <c r="S28" s="32">
        <v>16133</v>
      </c>
      <c r="T28" s="32">
        <v>15889</v>
      </c>
      <c r="U28" s="32">
        <v>15350</v>
      </c>
      <c r="V28" s="32">
        <v>14170</v>
      </c>
      <c r="W28" s="32">
        <v>13475</v>
      </c>
      <c r="X28" s="32">
        <v>12780</v>
      </c>
      <c r="Y28" s="32">
        <v>13205</v>
      </c>
      <c r="Z28" s="32">
        <v>12641</v>
      </c>
    </row>
    <row r="29" spans="2:26" x14ac:dyDescent="0.3">
      <c r="B29" s="30" t="s">
        <v>314</v>
      </c>
      <c r="L29" s="32">
        <v>739</v>
      </c>
      <c r="M29" s="32">
        <v>2680</v>
      </c>
      <c r="N29" s="32">
        <v>3011</v>
      </c>
      <c r="O29" s="32">
        <v>3112</v>
      </c>
      <c r="P29" s="32">
        <v>2922</v>
      </c>
      <c r="Q29" s="32">
        <v>2692</v>
      </c>
      <c r="R29" s="32">
        <v>2485</v>
      </c>
      <c r="S29" s="32">
        <v>2297</v>
      </c>
      <c r="T29" s="32">
        <v>2211</v>
      </c>
      <c r="U29" s="32">
        <v>1963</v>
      </c>
      <c r="V29" s="32">
        <v>1760</v>
      </c>
      <c r="W29" s="32">
        <v>1682</v>
      </c>
      <c r="X29" s="32">
        <v>2225</v>
      </c>
      <c r="Y29" s="32">
        <v>2001</v>
      </c>
      <c r="Z29" s="32">
        <v>1903</v>
      </c>
    </row>
    <row r="30" spans="2:26" x14ac:dyDescent="0.3">
      <c r="B30" s="30" t="s">
        <v>315</v>
      </c>
      <c r="L30" s="32">
        <v>14721</v>
      </c>
      <c r="M30" s="32">
        <v>40426</v>
      </c>
      <c r="N30" s="32">
        <v>48394</v>
      </c>
      <c r="O30" s="32">
        <v>47027</v>
      </c>
      <c r="P30" s="32">
        <v>44826</v>
      </c>
      <c r="Q30" s="32">
        <v>44023</v>
      </c>
      <c r="R30" s="32">
        <v>42634</v>
      </c>
      <c r="S30" s="32">
        <v>41226</v>
      </c>
      <c r="T30" s="32">
        <v>41212</v>
      </c>
      <c r="U30" s="32">
        <v>37429</v>
      </c>
      <c r="V30" s="32">
        <v>34518</v>
      </c>
      <c r="W30" s="32">
        <v>33739</v>
      </c>
      <c r="X30" s="32">
        <v>33952</v>
      </c>
      <c r="Y30" s="32">
        <v>34396</v>
      </c>
      <c r="Z30" s="32">
        <v>33475</v>
      </c>
    </row>
    <row r="31" spans="2:26" x14ac:dyDescent="0.3">
      <c r="B31" s="30" t="s">
        <v>743</v>
      </c>
      <c r="L31" s="32">
        <v>1245</v>
      </c>
      <c r="M31" s="32">
        <v>3435</v>
      </c>
      <c r="N31" s="32">
        <v>4146</v>
      </c>
      <c r="O31" s="32">
        <v>4015</v>
      </c>
      <c r="P31" s="32">
        <v>3790</v>
      </c>
      <c r="Q31" s="32">
        <v>3736</v>
      </c>
      <c r="R31" s="32">
        <v>3632</v>
      </c>
      <c r="S31" s="32">
        <v>3589</v>
      </c>
      <c r="T31" s="32">
        <v>3755</v>
      </c>
      <c r="U31" s="32" t="s">
        <v>207</v>
      </c>
      <c r="V31" s="32" t="s">
        <v>207</v>
      </c>
      <c r="W31" s="32" t="s">
        <v>207</v>
      </c>
      <c r="X31" s="32" t="s">
        <v>207</v>
      </c>
      <c r="Y31" s="32" t="s">
        <v>207</v>
      </c>
      <c r="Z31" s="32" t="s">
        <v>207</v>
      </c>
    </row>
    <row r="32" spans="2:26" x14ac:dyDescent="0.3">
      <c r="B32" s="30" t="s">
        <v>744</v>
      </c>
      <c r="L32" s="32">
        <v>1125</v>
      </c>
      <c r="M32" s="32">
        <v>2239</v>
      </c>
      <c r="N32" s="32">
        <v>2553</v>
      </c>
      <c r="O32" s="32">
        <v>2565</v>
      </c>
      <c r="P32" s="32">
        <v>2308</v>
      </c>
      <c r="Q32" s="32">
        <v>1984</v>
      </c>
      <c r="R32" s="32">
        <v>2140</v>
      </c>
      <c r="S32" s="32">
        <v>1964</v>
      </c>
      <c r="T32" s="32">
        <v>2094</v>
      </c>
      <c r="U32" s="32" t="s">
        <v>207</v>
      </c>
      <c r="V32" s="32" t="s">
        <v>207</v>
      </c>
      <c r="W32" s="32" t="s">
        <v>207</v>
      </c>
      <c r="X32" s="32" t="s">
        <v>207</v>
      </c>
      <c r="Y32" s="32" t="s">
        <v>207</v>
      </c>
      <c r="Z32" s="32" t="s">
        <v>207</v>
      </c>
    </row>
    <row r="33" spans="2:26" x14ac:dyDescent="0.3">
      <c r="B33" s="30" t="s">
        <v>745</v>
      </c>
      <c r="L33" s="32">
        <v>20</v>
      </c>
      <c r="M33" s="32">
        <v>108</v>
      </c>
      <c r="N33" s="32">
        <v>77</v>
      </c>
      <c r="O33" s="32">
        <v>121</v>
      </c>
      <c r="P33" s="32">
        <v>94</v>
      </c>
      <c r="Q33" s="32">
        <v>92</v>
      </c>
      <c r="R33" s="32">
        <v>94</v>
      </c>
      <c r="S33" s="32">
        <v>43</v>
      </c>
      <c r="T33" s="32">
        <v>36</v>
      </c>
      <c r="U33" s="32" t="s">
        <v>207</v>
      </c>
      <c r="V33" s="32" t="s">
        <v>207</v>
      </c>
      <c r="W33" s="32" t="s">
        <v>207</v>
      </c>
      <c r="X33" s="32" t="s">
        <v>207</v>
      </c>
      <c r="Y33" s="32" t="s">
        <v>207</v>
      </c>
      <c r="Z33" s="32" t="s">
        <v>207</v>
      </c>
    </row>
    <row r="34" spans="2:26" x14ac:dyDescent="0.3">
      <c r="B34" s="30" t="s">
        <v>746</v>
      </c>
      <c r="L34" s="32">
        <v>2390</v>
      </c>
      <c r="M34" s="32">
        <v>5782</v>
      </c>
      <c r="N34" s="32">
        <v>6776</v>
      </c>
      <c r="O34" s="32">
        <v>6701</v>
      </c>
      <c r="P34" s="32">
        <v>6192</v>
      </c>
      <c r="Q34" s="32">
        <v>5812</v>
      </c>
      <c r="R34" s="32">
        <v>5866</v>
      </c>
      <c r="S34" s="32">
        <v>5596</v>
      </c>
      <c r="T34" s="32">
        <v>5885</v>
      </c>
      <c r="U34" s="32">
        <v>5269</v>
      </c>
      <c r="V34" s="32">
        <v>4968</v>
      </c>
      <c r="W34" s="32">
        <v>4881</v>
      </c>
      <c r="X34" s="32">
        <v>5281</v>
      </c>
      <c r="Y34" s="32">
        <v>5227</v>
      </c>
      <c r="Z34" s="32">
        <v>5184</v>
      </c>
    </row>
    <row r="35" spans="2:26" x14ac:dyDescent="0.3">
      <c r="B35" s="30" t="s">
        <v>747</v>
      </c>
      <c r="L35" s="32">
        <f>L26 - L34</f>
        <v>5233</v>
      </c>
      <c r="M35" s="32">
        <f t="shared" ref="M35:Y35" si="4">M26 - M34</f>
        <v>11137</v>
      </c>
      <c r="N35" s="32">
        <f t="shared" si="4"/>
        <v>13967</v>
      </c>
      <c r="O35" s="32">
        <f t="shared" si="4"/>
        <v>12869</v>
      </c>
      <c r="P35" s="32">
        <f t="shared" si="4"/>
        <v>12294</v>
      </c>
      <c r="Q35" s="32">
        <f t="shared" si="4"/>
        <v>12498</v>
      </c>
      <c r="R35" s="32">
        <f t="shared" si="4"/>
        <v>11792</v>
      </c>
      <c r="S35" s="32">
        <f t="shared" si="4"/>
        <v>11776</v>
      </c>
      <c r="T35" s="32">
        <f t="shared" si="4"/>
        <v>11920</v>
      </c>
      <c r="U35" s="32">
        <f t="shared" si="4"/>
        <v>10206</v>
      </c>
      <c r="V35" s="32">
        <f t="shared" si="4"/>
        <v>9267</v>
      </c>
      <c r="W35" s="32">
        <f t="shared" si="4"/>
        <v>9494</v>
      </c>
      <c r="X35" s="32">
        <f t="shared" si="4"/>
        <v>9052</v>
      </c>
      <c r="Y35" s="32">
        <f t="shared" si="4"/>
        <v>9354</v>
      </c>
      <c r="Z35" s="32">
        <v>8135</v>
      </c>
    </row>
    <row r="36" spans="2:26" x14ac:dyDescent="0.3">
      <c r="B36" s="30" t="s">
        <v>748</v>
      </c>
      <c r="L36" s="32">
        <v>1187</v>
      </c>
      <c r="M36" s="32">
        <v>2240</v>
      </c>
      <c r="N36" s="32">
        <v>2674</v>
      </c>
      <c r="O36" s="32">
        <v>2258</v>
      </c>
      <c r="P36" s="32">
        <v>2370</v>
      </c>
      <c r="Q36" s="32">
        <v>2181</v>
      </c>
      <c r="R36" s="32">
        <v>2372</v>
      </c>
      <c r="S36" s="32">
        <v>2005</v>
      </c>
      <c r="T36" s="32">
        <v>2166</v>
      </c>
      <c r="U36" s="32">
        <v>1888</v>
      </c>
      <c r="V36" s="32">
        <v>1840</v>
      </c>
      <c r="W36" s="32">
        <v>2289</v>
      </c>
      <c r="X36" s="32" t="s">
        <v>207</v>
      </c>
      <c r="Y36" s="32" t="s">
        <v>207</v>
      </c>
      <c r="Z36" s="32" t="s">
        <v>207</v>
      </c>
    </row>
    <row r="37" spans="2:26" x14ac:dyDescent="0.3">
      <c r="B37" s="30" t="s">
        <v>749</v>
      </c>
      <c r="L37" s="32">
        <v>428</v>
      </c>
      <c r="M37" s="32">
        <v>1907</v>
      </c>
      <c r="N37" s="32">
        <v>2410</v>
      </c>
      <c r="O37" s="32">
        <v>2083</v>
      </c>
      <c r="P37" s="32">
        <v>2070</v>
      </c>
      <c r="Q37" s="32">
        <v>2148</v>
      </c>
      <c r="R37" s="32">
        <v>1861</v>
      </c>
      <c r="S37" s="32">
        <v>1837</v>
      </c>
      <c r="T37" s="32">
        <v>1965</v>
      </c>
      <c r="U37" s="32">
        <v>1708</v>
      </c>
      <c r="V37" s="32">
        <v>1355</v>
      </c>
      <c r="W37" s="32">
        <v>1657</v>
      </c>
      <c r="X37" s="32" t="s">
        <v>207</v>
      </c>
      <c r="Y37" s="32" t="s">
        <v>207</v>
      </c>
      <c r="Z37" s="32" t="s">
        <v>207</v>
      </c>
    </row>
    <row r="38" spans="2:26" x14ac:dyDescent="0.3">
      <c r="B38" s="30" t="s">
        <v>750</v>
      </c>
      <c r="L38" s="32">
        <v>681</v>
      </c>
      <c r="M38" s="32">
        <v>1390</v>
      </c>
      <c r="N38" s="32">
        <v>1534</v>
      </c>
      <c r="O38" s="32">
        <v>1493</v>
      </c>
      <c r="P38" s="32">
        <v>1465</v>
      </c>
      <c r="Q38" s="32">
        <v>1456</v>
      </c>
      <c r="R38" s="32">
        <v>1352</v>
      </c>
      <c r="S38" s="32">
        <v>1315</v>
      </c>
      <c r="T38" s="32">
        <v>1368</v>
      </c>
      <c r="U38" s="32">
        <v>1245</v>
      </c>
      <c r="V38" s="32">
        <v>1142</v>
      </c>
      <c r="W38" s="32">
        <v>1146</v>
      </c>
      <c r="X38" s="32" t="s">
        <v>207</v>
      </c>
      <c r="Y38" s="32" t="s">
        <v>207</v>
      </c>
      <c r="Z38" s="32" t="s">
        <v>207</v>
      </c>
    </row>
    <row r="39" spans="2:26" x14ac:dyDescent="0.3">
      <c r="B39" s="30" t="s">
        <v>751</v>
      </c>
      <c r="L39" s="32">
        <v>1481</v>
      </c>
      <c r="M39" s="32">
        <v>1473</v>
      </c>
      <c r="N39" s="32">
        <v>1483</v>
      </c>
      <c r="O39" s="32">
        <v>1367</v>
      </c>
      <c r="P39" s="32">
        <v>1402</v>
      </c>
      <c r="Q39" s="32">
        <v>1353</v>
      </c>
      <c r="R39" s="32">
        <v>1409</v>
      </c>
      <c r="S39" s="32">
        <v>1368</v>
      </c>
      <c r="T39" s="32">
        <v>1259</v>
      </c>
      <c r="U39" s="32">
        <v>991</v>
      </c>
      <c r="V39" s="32">
        <v>952</v>
      </c>
      <c r="W39" s="32">
        <v>935</v>
      </c>
      <c r="X39" s="32" t="s">
        <v>207</v>
      </c>
      <c r="Y39" s="32" t="s">
        <v>207</v>
      </c>
      <c r="Z39" s="32" t="s">
        <v>207</v>
      </c>
    </row>
    <row r="40" spans="2:26" x14ac:dyDescent="0.3">
      <c r="B40" s="30" t="s">
        <v>752</v>
      </c>
      <c r="L40" s="32">
        <v>407</v>
      </c>
      <c r="M40" s="32">
        <v>1311</v>
      </c>
      <c r="N40" s="32">
        <v>1208</v>
      </c>
      <c r="O40" s="32">
        <v>631</v>
      </c>
      <c r="P40" s="32">
        <v>1278</v>
      </c>
      <c r="Q40" s="32">
        <v>650</v>
      </c>
      <c r="R40" s="32">
        <v>718</v>
      </c>
      <c r="S40" s="32">
        <v>670</v>
      </c>
      <c r="T40" s="32">
        <v>886</v>
      </c>
      <c r="U40" s="32">
        <v>545</v>
      </c>
      <c r="V40" s="32">
        <v>560</v>
      </c>
      <c r="W40" s="32">
        <v>497</v>
      </c>
      <c r="X40" s="32" t="s">
        <v>207</v>
      </c>
      <c r="Y40" s="32" t="s">
        <v>207</v>
      </c>
      <c r="Z40" s="32" t="s">
        <v>207</v>
      </c>
    </row>
    <row r="41" spans="2:26" x14ac:dyDescent="0.3">
      <c r="B41" s="30" t="s">
        <v>753</v>
      </c>
      <c r="L41" s="32">
        <v>1010</v>
      </c>
      <c r="M41" s="32">
        <v>1023</v>
      </c>
      <c r="N41" s="32">
        <v>1030</v>
      </c>
      <c r="O41" s="32">
        <v>965</v>
      </c>
      <c r="P41" s="32">
        <v>957</v>
      </c>
      <c r="Q41" s="32">
        <v>1019</v>
      </c>
      <c r="R41" s="32">
        <v>944</v>
      </c>
      <c r="S41" s="32">
        <v>957</v>
      </c>
      <c r="T41" s="32">
        <v>940</v>
      </c>
      <c r="U41" s="32">
        <v>859</v>
      </c>
      <c r="V41" s="32">
        <v>750</v>
      </c>
      <c r="W41" s="32">
        <v>690</v>
      </c>
      <c r="X41" s="32" t="s">
        <v>207</v>
      </c>
      <c r="Y41" s="32" t="s">
        <v>207</v>
      </c>
      <c r="Z41" s="32" t="s">
        <v>207</v>
      </c>
    </row>
    <row r="42" spans="2:26" x14ac:dyDescent="0.3">
      <c r="B42" s="30" t="s">
        <v>754</v>
      </c>
      <c r="L42" s="32">
        <v>146</v>
      </c>
      <c r="M42" s="32">
        <v>845</v>
      </c>
      <c r="N42" s="32">
        <v>1046</v>
      </c>
      <c r="O42" s="32">
        <v>1011</v>
      </c>
      <c r="P42" s="32">
        <v>886</v>
      </c>
      <c r="Q42" s="32">
        <v>933</v>
      </c>
      <c r="R42" s="32">
        <v>813</v>
      </c>
      <c r="S42" s="32">
        <v>784</v>
      </c>
      <c r="T42" s="32">
        <v>887</v>
      </c>
      <c r="U42" s="32">
        <v>840</v>
      </c>
      <c r="V42" s="32">
        <v>617</v>
      </c>
      <c r="W42" s="32">
        <v>570</v>
      </c>
      <c r="X42" s="32" t="s">
        <v>207</v>
      </c>
      <c r="Y42" s="32" t="s">
        <v>207</v>
      </c>
      <c r="Z42" s="32" t="s">
        <v>207</v>
      </c>
    </row>
    <row r="43" spans="2:26" x14ac:dyDescent="0.3">
      <c r="B43" s="30" t="s">
        <v>755</v>
      </c>
      <c r="L43" s="32">
        <v>841</v>
      </c>
      <c r="M43" s="32">
        <v>1072</v>
      </c>
      <c r="N43" s="32">
        <v>1186</v>
      </c>
      <c r="O43" s="32">
        <v>1479</v>
      </c>
      <c r="P43" s="32">
        <v>773</v>
      </c>
      <c r="Q43" s="32">
        <v>1058</v>
      </c>
      <c r="R43" s="32">
        <v>858</v>
      </c>
      <c r="S43" s="32">
        <v>1009</v>
      </c>
      <c r="T43" s="32">
        <v>377</v>
      </c>
      <c r="U43" s="32">
        <v>744</v>
      </c>
      <c r="V43" s="32">
        <v>709</v>
      </c>
      <c r="W43" s="32">
        <v>703</v>
      </c>
      <c r="X43" s="32" t="s">
        <v>207</v>
      </c>
      <c r="Y43" s="32" t="s">
        <v>207</v>
      </c>
      <c r="Z43" s="32" t="s">
        <v>207</v>
      </c>
    </row>
    <row r="44" spans="2:26" x14ac:dyDescent="0.3">
      <c r="B44" s="30" t="s">
        <v>756</v>
      </c>
      <c r="L44" s="32">
        <v>512</v>
      </c>
      <c r="M44" s="32">
        <v>798</v>
      </c>
      <c r="N44" s="32">
        <v>895</v>
      </c>
      <c r="O44" s="32">
        <v>756</v>
      </c>
      <c r="P44" s="32">
        <v>762</v>
      </c>
      <c r="Q44" s="32">
        <v>744</v>
      </c>
      <c r="R44" s="32">
        <v>731</v>
      </c>
      <c r="S44" s="32">
        <v>738</v>
      </c>
      <c r="T44" s="32">
        <v>695</v>
      </c>
      <c r="U44" s="32">
        <v>695</v>
      </c>
      <c r="V44" s="32">
        <v>656</v>
      </c>
      <c r="W44" s="32">
        <v>670</v>
      </c>
      <c r="X44" s="32" t="s">
        <v>207</v>
      </c>
      <c r="Y44" s="32" t="s">
        <v>207</v>
      </c>
      <c r="Z44" s="32" t="s">
        <v>207</v>
      </c>
    </row>
    <row r="45" spans="2:26" x14ac:dyDescent="0.3">
      <c r="B45" s="30" t="s">
        <v>757</v>
      </c>
      <c r="L45" s="32">
        <v>272</v>
      </c>
      <c r="M45" s="32">
        <v>749</v>
      </c>
      <c r="N45" s="32">
        <v>848</v>
      </c>
      <c r="O45" s="32">
        <v>757</v>
      </c>
      <c r="P45" s="32">
        <v>756</v>
      </c>
      <c r="Q45" s="32">
        <v>709</v>
      </c>
      <c r="R45" s="32">
        <v>652</v>
      </c>
      <c r="S45" s="32">
        <v>632</v>
      </c>
      <c r="T45" s="32">
        <v>638</v>
      </c>
      <c r="U45" s="32">
        <v>557</v>
      </c>
      <c r="V45" s="32">
        <v>512</v>
      </c>
      <c r="W45" s="32">
        <v>541</v>
      </c>
      <c r="X45" s="32" t="s">
        <v>207</v>
      </c>
      <c r="Y45" s="32" t="s">
        <v>207</v>
      </c>
      <c r="Z45" s="32" t="s">
        <v>207</v>
      </c>
    </row>
    <row r="46" spans="2:26" x14ac:dyDescent="0.3">
      <c r="B46" s="30" t="s">
        <v>758</v>
      </c>
      <c r="L46" s="32">
        <v>353</v>
      </c>
      <c r="M46" s="32">
        <v>652</v>
      </c>
      <c r="N46" s="32">
        <v>797</v>
      </c>
      <c r="O46" s="32">
        <v>787</v>
      </c>
      <c r="P46" s="32">
        <v>721</v>
      </c>
      <c r="Q46" s="32">
        <v>587</v>
      </c>
      <c r="R46" s="32">
        <v>574</v>
      </c>
      <c r="S46" s="32">
        <v>521</v>
      </c>
      <c r="T46" s="32">
        <v>570</v>
      </c>
      <c r="U46" s="32">
        <v>546</v>
      </c>
      <c r="V46" s="32">
        <v>533</v>
      </c>
      <c r="W46" s="32">
        <v>466</v>
      </c>
      <c r="X46" s="32" t="s">
        <v>207</v>
      </c>
      <c r="Y46" s="32" t="s">
        <v>207</v>
      </c>
      <c r="Z46" s="32" t="s">
        <v>207</v>
      </c>
    </row>
    <row r="47" spans="2:26" x14ac:dyDescent="0.3">
      <c r="B47" s="30" t="s">
        <v>759</v>
      </c>
      <c r="L47" s="32">
        <v>1590</v>
      </c>
      <c r="M47" s="32">
        <v>990</v>
      </c>
      <c r="N47" s="32">
        <v>1420</v>
      </c>
      <c r="O47" s="32">
        <v>1308</v>
      </c>
      <c r="P47" s="32">
        <v>901</v>
      </c>
      <c r="Q47" s="32">
        <v>1189</v>
      </c>
      <c r="R47" s="32">
        <v>1192</v>
      </c>
      <c r="S47" s="32">
        <v>1012</v>
      </c>
      <c r="T47" s="32">
        <v>1061</v>
      </c>
      <c r="U47" s="32">
        <v>1149</v>
      </c>
      <c r="V47" s="32">
        <v>983</v>
      </c>
      <c r="W47" s="32">
        <v>1029</v>
      </c>
      <c r="X47" s="32" t="s">
        <v>207</v>
      </c>
      <c r="Y47" s="32" t="s">
        <v>207</v>
      </c>
      <c r="Z47" s="32" t="s">
        <v>207</v>
      </c>
    </row>
    <row r="48" spans="2:26" x14ac:dyDescent="0.3">
      <c r="B48" s="30" t="s">
        <v>494</v>
      </c>
      <c r="L48" s="32">
        <v>8908</v>
      </c>
      <c r="M48" s="32">
        <v>14450</v>
      </c>
      <c r="N48" s="32">
        <v>16531</v>
      </c>
      <c r="O48" s="32">
        <v>14895</v>
      </c>
      <c r="P48" s="32">
        <v>14341</v>
      </c>
      <c r="Q48" s="32">
        <v>14027</v>
      </c>
      <c r="R48" s="32">
        <v>13476</v>
      </c>
      <c r="S48" s="32">
        <v>12848</v>
      </c>
      <c r="T48" s="32">
        <v>12812</v>
      </c>
      <c r="U48" s="32">
        <v>11767</v>
      </c>
      <c r="V48" s="32">
        <v>10609</v>
      </c>
      <c r="W48" s="32">
        <v>11193</v>
      </c>
      <c r="X48" s="32" t="s">
        <v>207</v>
      </c>
      <c r="Y48" s="32" t="s">
        <v>207</v>
      </c>
      <c r="Z48" s="32" t="s">
        <v>207</v>
      </c>
    </row>
    <row r="49" spans="2:26" x14ac:dyDescent="0.3">
      <c r="B49" s="30" t="s">
        <v>760</v>
      </c>
      <c r="L49" s="32" t="s">
        <v>207</v>
      </c>
      <c r="M49" s="32" t="s">
        <v>207</v>
      </c>
      <c r="N49" s="32" t="s">
        <v>207</v>
      </c>
      <c r="O49" s="32" t="s">
        <v>207</v>
      </c>
      <c r="P49" s="32" t="s">
        <v>207</v>
      </c>
      <c r="Q49" s="32" t="s">
        <v>207</v>
      </c>
      <c r="R49" s="32" t="s">
        <v>207</v>
      </c>
      <c r="S49" s="32" t="s">
        <v>207</v>
      </c>
      <c r="T49" s="32" t="s">
        <v>207</v>
      </c>
      <c r="U49" s="32" t="s">
        <v>207</v>
      </c>
      <c r="V49" s="32" t="s">
        <v>207</v>
      </c>
      <c r="W49" s="32" t="s">
        <v>207</v>
      </c>
      <c r="X49" s="32">
        <v>120</v>
      </c>
      <c r="Y49" s="32">
        <v>120</v>
      </c>
      <c r="Z49" s="32">
        <v>120</v>
      </c>
    </row>
    <row r="50" spans="2:26" x14ac:dyDescent="0.3">
      <c r="B50" s="30" t="s">
        <v>748</v>
      </c>
      <c r="L50" s="32" t="s">
        <v>207</v>
      </c>
      <c r="M50" s="32" t="s">
        <v>207</v>
      </c>
      <c r="N50" s="32" t="s">
        <v>207</v>
      </c>
      <c r="O50" s="32" t="s">
        <v>207</v>
      </c>
      <c r="P50" s="32" t="s">
        <v>207</v>
      </c>
      <c r="Q50" s="32" t="s">
        <v>207</v>
      </c>
      <c r="R50" s="32" t="s">
        <v>207</v>
      </c>
      <c r="S50" s="32" t="s">
        <v>207</v>
      </c>
      <c r="T50" s="32" t="s">
        <v>207</v>
      </c>
      <c r="U50" s="32" t="s">
        <v>207</v>
      </c>
      <c r="V50" s="32" t="s">
        <v>207</v>
      </c>
      <c r="W50" s="32" t="s">
        <v>207</v>
      </c>
      <c r="X50" s="32">
        <v>3066</v>
      </c>
      <c r="Y50" s="32">
        <v>3274</v>
      </c>
      <c r="Z50" s="32">
        <v>3227</v>
      </c>
    </row>
    <row r="51" spans="2:26" x14ac:dyDescent="0.3">
      <c r="B51" s="30" t="s">
        <v>754</v>
      </c>
      <c r="L51" s="32" t="s">
        <v>207</v>
      </c>
      <c r="M51" s="32" t="s">
        <v>207</v>
      </c>
      <c r="N51" s="32" t="s">
        <v>207</v>
      </c>
      <c r="O51" s="32" t="s">
        <v>207</v>
      </c>
      <c r="P51" s="32" t="s">
        <v>207</v>
      </c>
      <c r="Q51" s="32" t="s">
        <v>207</v>
      </c>
      <c r="R51" s="32" t="s">
        <v>207</v>
      </c>
      <c r="S51" s="32" t="s">
        <v>207</v>
      </c>
      <c r="T51" s="32" t="s">
        <v>207</v>
      </c>
      <c r="U51" s="32" t="s">
        <v>207</v>
      </c>
      <c r="V51" s="32" t="s">
        <v>207</v>
      </c>
      <c r="W51" s="32" t="s">
        <v>207</v>
      </c>
      <c r="X51" s="32">
        <v>618</v>
      </c>
      <c r="Y51" s="32">
        <v>557</v>
      </c>
      <c r="Z51" s="32">
        <v>613</v>
      </c>
    </row>
    <row r="52" spans="2:26" x14ac:dyDescent="0.3">
      <c r="B52" s="30" t="s">
        <v>761</v>
      </c>
      <c r="L52" s="32" t="s">
        <v>207</v>
      </c>
      <c r="M52" s="32" t="s">
        <v>207</v>
      </c>
      <c r="N52" s="32" t="s">
        <v>207</v>
      </c>
      <c r="O52" s="32" t="s">
        <v>207</v>
      </c>
      <c r="P52" s="32" t="s">
        <v>207</v>
      </c>
      <c r="Q52" s="32" t="s">
        <v>207</v>
      </c>
      <c r="R52" s="32" t="s">
        <v>207</v>
      </c>
      <c r="S52" s="32" t="s">
        <v>207</v>
      </c>
      <c r="T52" s="32" t="s">
        <v>207</v>
      </c>
      <c r="U52" s="32" t="s">
        <v>207</v>
      </c>
      <c r="V52" s="32" t="s">
        <v>207</v>
      </c>
      <c r="W52" s="32" t="s">
        <v>207</v>
      </c>
      <c r="X52" s="32">
        <v>725</v>
      </c>
      <c r="Y52" s="32">
        <v>859</v>
      </c>
      <c r="Z52" s="32">
        <v>948</v>
      </c>
    </row>
    <row r="53" spans="2:26" x14ac:dyDescent="0.3">
      <c r="B53" s="30" t="s">
        <v>762</v>
      </c>
      <c r="L53" s="32" t="s">
        <v>207</v>
      </c>
      <c r="M53" s="32" t="s">
        <v>207</v>
      </c>
      <c r="N53" s="32" t="s">
        <v>207</v>
      </c>
      <c r="O53" s="32" t="s">
        <v>207</v>
      </c>
      <c r="P53" s="32" t="s">
        <v>207</v>
      </c>
      <c r="Q53" s="32" t="s">
        <v>207</v>
      </c>
      <c r="R53" s="32" t="s">
        <v>207</v>
      </c>
      <c r="S53" s="32" t="s">
        <v>207</v>
      </c>
      <c r="T53" s="32" t="s">
        <v>207</v>
      </c>
      <c r="U53" s="32" t="s">
        <v>207</v>
      </c>
      <c r="V53" s="32" t="s">
        <v>207</v>
      </c>
      <c r="W53" s="32" t="s">
        <v>207</v>
      </c>
      <c r="X53" s="32">
        <v>1012</v>
      </c>
      <c r="Y53" s="32">
        <v>982</v>
      </c>
      <c r="Z53" s="32">
        <v>1105</v>
      </c>
    </row>
    <row r="54" spans="2:26" x14ac:dyDescent="0.3">
      <c r="B54" s="30" t="s">
        <v>749</v>
      </c>
      <c r="L54" s="32" t="s">
        <v>207</v>
      </c>
      <c r="M54" s="32" t="s">
        <v>207</v>
      </c>
      <c r="N54" s="32" t="s">
        <v>207</v>
      </c>
      <c r="O54" s="32" t="s">
        <v>207</v>
      </c>
      <c r="P54" s="32" t="s">
        <v>207</v>
      </c>
      <c r="Q54" s="32" t="s">
        <v>207</v>
      </c>
      <c r="R54" s="32" t="s">
        <v>207</v>
      </c>
      <c r="S54" s="32" t="s">
        <v>207</v>
      </c>
      <c r="T54" s="32" t="s">
        <v>207</v>
      </c>
      <c r="U54" s="32" t="s">
        <v>207</v>
      </c>
      <c r="V54" s="32" t="s">
        <v>207</v>
      </c>
      <c r="W54" s="32" t="s">
        <v>207</v>
      </c>
      <c r="X54" s="32">
        <v>1407</v>
      </c>
      <c r="Y54" s="32">
        <v>1225</v>
      </c>
      <c r="Z54" s="32">
        <v>1305</v>
      </c>
    </row>
    <row r="55" spans="2:26" x14ac:dyDescent="0.3">
      <c r="B55" s="30" t="s">
        <v>751</v>
      </c>
      <c r="L55" s="32" t="s">
        <v>207</v>
      </c>
      <c r="M55" s="32" t="s">
        <v>207</v>
      </c>
      <c r="N55" s="32" t="s">
        <v>207</v>
      </c>
      <c r="O55" s="32" t="s">
        <v>207</v>
      </c>
      <c r="P55" s="32" t="s">
        <v>207</v>
      </c>
      <c r="Q55" s="32" t="s">
        <v>207</v>
      </c>
      <c r="R55" s="32" t="s">
        <v>207</v>
      </c>
      <c r="S55" s="32" t="s">
        <v>207</v>
      </c>
      <c r="T55" s="32" t="s">
        <v>207</v>
      </c>
      <c r="U55" s="32" t="s">
        <v>207</v>
      </c>
      <c r="V55" s="32" t="s">
        <v>207</v>
      </c>
      <c r="W55" s="32" t="s">
        <v>207</v>
      </c>
      <c r="X55" s="32">
        <v>895</v>
      </c>
      <c r="Y55" s="32">
        <v>907</v>
      </c>
      <c r="Z55" s="32">
        <v>874</v>
      </c>
    </row>
    <row r="56" spans="2:26" x14ac:dyDescent="0.3">
      <c r="B56" s="30" t="s">
        <v>756</v>
      </c>
      <c r="L56" s="32" t="s">
        <v>207</v>
      </c>
      <c r="M56" s="32" t="s">
        <v>207</v>
      </c>
      <c r="N56" s="32" t="s">
        <v>207</v>
      </c>
      <c r="O56" s="32" t="s">
        <v>207</v>
      </c>
      <c r="P56" s="32" t="s">
        <v>207</v>
      </c>
      <c r="Q56" s="32" t="s">
        <v>207</v>
      </c>
      <c r="R56" s="32" t="s">
        <v>207</v>
      </c>
      <c r="S56" s="32" t="s">
        <v>207</v>
      </c>
      <c r="T56" s="32" t="s">
        <v>207</v>
      </c>
      <c r="U56" s="32" t="s">
        <v>207</v>
      </c>
      <c r="V56" s="32" t="s">
        <v>207</v>
      </c>
      <c r="W56" s="32" t="s">
        <v>207</v>
      </c>
      <c r="X56" s="32">
        <v>692</v>
      </c>
      <c r="Y56" s="32">
        <v>694</v>
      </c>
      <c r="Z56" s="32">
        <v>710</v>
      </c>
    </row>
    <row r="57" spans="2:26" x14ac:dyDescent="0.3">
      <c r="B57" s="30" t="s">
        <v>495</v>
      </c>
      <c r="L57" s="32">
        <v>2235</v>
      </c>
      <c r="M57" s="32">
        <v>2257</v>
      </c>
      <c r="N57" s="32">
        <v>2204</v>
      </c>
      <c r="O57" s="32">
        <v>2465</v>
      </c>
      <c r="P57" s="32">
        <v>2200</v>
      </c>
      <c r="Q57" s="32">
        <v>2053</v>
      </c>
      <c r="R57" s="32">
        <v>1998</v>
      </c>
      <c r="S57" s="32">
        <v>1899</v>
      </c>
      <c r="T57" s="32">
        <v>1909</v>
      </c>
      <c r="U57" s="32">
        <v>1710</v>
      </c>
      <c r="V57" s="32">
        <v>1608</v>
      </c>
      <c r="W57" s="32">
        <v>1618</v>
      </c>
      <c r="X57" s="32">
        <v>1825</v>
      </c>
      <c r="Y57" s="32">
        <v>1826</v>
      </c>
      <c r="Z57" s="32">
        <v>1817</v>
      </c>
    </row>
    <row r="58" spans="2:26" x14ac:dyDescent="0.3">
      <c r="B58" s="30" t="s">
        <v>763</v>
      </c>
      <c r="L58" s="32" t="s">
        <v>207</v>
      </c>
      <c r="M58" s="32" t="s">
        <v>207</v>
      </c>
      <c r="N58" s="32" t="s">
        <v>207</v>
      </c>
      <c r="O58" s="32" t="s">
        <v>207</v>
      </c>
      <c r="P58" s="32" t="s">
        <v>207</v>
      </c>
      <c r="Q58" s="32" t="s">
        <v>207</v>
      </c>
      <c r="R58" s="32" t="s">
        <v>207</v>
      </c>
      <c r="S58" s="32" t="s">
        <v>207</v>
      </c>
      <c r="T58" s="32" t="s">
        <v>207</v>
      </c>
      <c r="U58" s="32" t="s">
        <v>207</v>
      </c>
      <c r="V58" s="32" t="s">
        <v>207</v>
      </c>
      <c r="W58" s="32" t="s">
        <v>207</v>
      </c>
      <c r="X58" s="32" t="s">
        <v>207</v>
      </c>
      <c r="Y58" s="32">
        <v>127</v>
      </c>
      <c r="Z58" s="32" t="s">
        <v>207</v>
      </c>
    </row>
    <row r="59" spans="2:26" x14ac:dyDescent="0.3">
      <c r="B59" s="30" t="s">
        <v>764</v>
      </c>
      <c r="L59" s="32" t="s">
        <v>207</v>
      </c>
      <c r="M59" s="32" t="s">
        <v>207</v>
      </c>
      <c r="N59" s="32" t="s">
        <v>207</v>
      </c>
      <c r="O59" s="32" t="s">
        <v>207</v>
      </c>
      <c r="P59" s="32" t="s">
        <v>207</v>
      </c>
      <c r="Q59" s="32" t="s">
        <v>207</v>
      </c>
      <c r="R59" s="32" t="s">
        <v>207</v>
      </c>
      <c r="S59" s="32" t="s">
        <v>207</v>
      </c>
      <c r="T59" s="32" t="s">
        <v>207</v>
      </c>
      <c r="U59" s="32" t="s">
        <v>207</v>
      </c>
      <c r="V59" s="32" t="s">
        <v>207</v>
      </c>
      <c r="W59" s="32" t="s">
        <v>207</v>
      </c>
      <c r="X59" s="32">
        <v>38</v>
      </c>
      <c r="Y59" s="32" t="s">
        <v>207</v>
      </c>
      <c r="Z59" s="32" t="s">
        <v>207</v>
      </c>
    </row>
    <row r="60" spans="2:26" x14ac:dyDescent="0.3">
      <c r="B60" s="30" t="s">
        <v>765</v>
      </c>
      <c r="L60" s="32" t="s">
        <v>207</v>
      </c>
      <c r="M60" s="32" t="s">
        <v>207</v>
      </c>
      <c r="N60" s="32" t="s">
        <v>207</v>
      </c>
      <c r="O60" s="32" t="s">
        <v>207</v>
      </c>
      <c r="P60" s="32" t="s">
        <v>207</v>
      </c>
      <c r="Q60" s="32" t="s">
        <v>207</v>
      </c>
      <c r="R60" s="32" t="s">
        <v>207</v>
      </c>
      <c r="S60" s="32" t="s">
        <v>207</v>
      </c>
      <c r="T60" s="32" t="s">
        <v>207</v>
      </c>
      <c r="U60" s="32" t="s">
        <v>207</v>
      </c>
      <c r="V60" s="32" t="s">
        <v>207</v>
      </c>
      <c r="W60" s="32" t="s">
        <v>207</v>
      </c>
      <c r="X60" s="32">
        <v>139</v>
      </c>
      <c r="Y60" s="32">
        <v>62</v>
      </c>
      <c r="Z60" s="32">
        <v>540</v>
      </c>
    </row>
    <row r="61" spans="2:26" x14ac:dyDescent="0.3">
      <c r="B61" s="30" t="s">
        <v>766</v>
      </c>
      <c r="L61" s="32" t="s">
        <v>207</v>
      </c>
      <c r="M61" s="32" t="s">
        <v>207</v>
      </c>
      <c r="N61" s="32" t="s">
        <v>207</v>
      </c>
      <c r="O61" s="32" t="s">
        <v>207</v>
      </c>
      <c r="P61" s="32" t="s">
        <v>207</v>
      </c>
      <c r="Q61" s="32" t="s">
        <v>207</v>
      </c>
      <c r="R61" s="32" t="s">
        <v>207</v>
      </c>
      <c r="S61" s="32" t="s">
        <v>207</v>
      </c>
      <c r="T61" s="32" t="s">
        <v>207</v>
      </c>
      <c r="U61" s="32" t="s">
        <v>207</v>
      </c>
      <c r="V61" s="32" t="s">
        <v>207</v>
      </c>
      <c r="W61" s="32" t="s">
        <v>207</v>
      </c>
      <c r="X61" s="32">
        <v>3297</v>
      </c>
      <c r="Y61" s="32">
        <v>3323</v>
      </c>
      <c r="Z61" s="32" t="s">
        <v>207</v>
      </c>
    </row>
    <row r="62" spans="2:26" x14ac:dyDescent="0.3">
      <c r="B62" s="30" t="s">
        <v>767</v>
      </c>
      <c r="L62" s="32">
        <v>424</v>
      </c>
      <c r="M62" s="32">
        <v>8190</v>
      </c>
      <c r="N62" s="32">
        <v>-26</v>
      </c>
      <c r="O62" s="32">
        <v>-172</v>
      </c>
      <c r="P62" s="32">
        <v>-981</v>
      </c>
      <c r="Q62" s="32">
        <v>-1097</v>
      </c>
      <c r="R62" s="32">
        <v>440</v>
      </c>
      <c r="S62" s="32">
        <v>2305</v>
      </c>
      <c r="T62" s="32">
        <v>89</v>
      </c>
      <c r="U62" s="32">
        <v>898</v>
      </c>
      <c r="V62" s="32">
        <v>129</v>
      </c>
      <c r="W62" s="32">
        <v>62</v>
      </c>
      <c r="X62" s="32" t="s">
        <v>207</v>
      </c>
      <c r="Y62" s="32" t="s">
        <v>207</v>
      </c>
      <c r="Z62" s="32">
        <v>3180</v>
      </c>
    </row>
    <row r="63" spans="2:26" x14ac:dyDescent="0.3">
      <c r="B63" s="30" t="s">
        <v>768</v>
      </c>
      <c r="L63" s="32">
        <v>19378</v>
      </c>
      <c r="M63" s="32">
        <v>42901</v>
      </c>
      <c r="N63" s="32">
        <v>38708</v>
      </c>
      <c r="O63" s="32">
        <v>37053</v>
      </c>
      <c r="P63" s="32">
        <v>33660</v>
      </c>
      <c r="Q63" s="32">
        <v>32891</v>
      </c>
      <c r="R63" s="32">
        <v>33142</v>
      </c>
      <c r="S63" s="32">
        <v>32995</v>
      </c>
      <c r="T63" s="32">
        <v>32072</v>
      </c>
      <c r="U63" s="32">
        <v>29546</v>
      </c>
      <c r="V63" s="32">
        <v>27031</v>
      </c>
      <c r="W63" s="32">
        <v>27406</v>
      </c>
      <c r="X63" s="32">
        <v>27295</v>
      </c>
      <c r="Y63" s="32">
        <v>26846</v>
      </c>
      <c r="Z63" s="32">
        <v>27758</v>
      </c>
    </row>
    <row r="64" spans="2:26" x14ac:dyDescent="0.3">
      <c r="B64" s="30" t="s">
        <v>497</v>
      </c>
      <c r="L64" s="32">
        <v>-4657</v>
      </c>
      <c r="M64" s="32">
        <v>-2475</v>
      </c>
      <c r="N64" s="32">
        <v>9686</v>
      </c>
      <c r="O64" s="32">
        <v>9974</v>
      </c>
      <c r="P64" s="32">
        <v>11166</v>
      </c>
      <c r="Q64" s="32">
        <v>11132</v>
      </c>
      <c r="R64" s="32">
        <v>9492</v>
      </c>
      <c r="S64" s="32">
        <v>8231</v>
      </c>
      <c r="T64" s="32">
        <v>9140</v>
      </c>
      <c r="U64" s="32">
        <v>7883</v>
      </c>
      <c r="V64" s="32">
        <v>7487</v>
      </c>
      <c r="W64" s="32">
        <v>6333</v>
      </c>
      <c r="X64" s="32">
        <v>6657</v>
      </c>
      <c r="Y64" s="32">
        <v>7550</v>
      </c>
      <c r="Z64" s="32">
        <v>5717</v>
      </c>
    </row>
    <row r="65" spans="2:26" x14ac:dyDescent="0.3">
      <c r="B65" s="30" t="s">
        <v>769</v>
      </c>
      <c r="L65" s="32" t="s">
        <v>207</v>
      </c>
      <c r="M65" s="32" t="s">
        <v>207</v>
      </c>
      <c r="N65" s="32" t="s">
        <v>207</v>
      </c>
      <c r="O65" s="32" t="s">
        <v>207</v>
      </c>
      <c r="P65" s="32" t="s">
        <v>207</v>
      </c>
      <c r="Q65" s="32" t="s">
        <v>207</v>
      </c>
      <c r="R65" s="32" t="s">
        <v>207</v>
      </c>
      <c r="S65" s="32" t="s">
        <v>207</v>
      </c>
      <c r="T65" s="32" t="s">
        <v>207</v>
      </c>
      <c r="U65" s="32" t="s">
        <v>207</v>
      </c>
      <c r="V65" s="32" t="s">
        <v>207</v>
      </c>
      <c r="W65" s="32" t="s">
        <v>207</v>
      </c>
      <c r="X65" s="32" t="s">
        <v>207</v>
      </c>
      <c r="Y65" s="32" t="s">
        <v>207</v>
      </c>
      <c r="Z65" s="32">
        <v>4</v>
      </c>
    </row>
    <row r="66" spans="2:26" x14ac:dyDescent="0.3">
      <c r="B66" s="30" t="s">
        <v>325</v>
      </c>
      <c r="L66" s="32">
        <v>2459</v>
      </c>
      <c r="M66" s="32">
        <v>2459</v>
      </c>
      <c r="N66" s="32">
        <v>2485</v>
      </c>
      <c r="O66" s="32">
        <v>2543</v>
      </c>
      <c r="P66" s="32">
        <v>2645</v>
      </c>
      <c r="Q66" s="32">
        <v>2521</v>
      </c>
      <c r="R66" s="32">
        <v>2308</v>
      </c>
      <c r="S66" s="32">
        <v>2106</v>
      </c>
      <c r="T66" s="32">
        <v>3079</v>
      </c>
      <c r="U66" s="32">
        <v>2205</v>
      </c>
      <c r="V66" s="32">
        <v>1912</v>
      </c>
      <c r="W66" s="32">
        <v>2015</v>
      </c>
      <c r="X66" s="32">
        <v>2040</v>
      </c>
      <c r="Y66" s="32">
        <v>1965</v>
      </c>
      <c r="Z66" s="32">
        <v>1915</v>
      </c>
    </row>
    <row r="67" spans="2:26" x14ac:dyDescent="0.3">
      <c r="B67" s="30" t="s">
        <v>324</v>
      </c>
      <c r="L67" s="32">
        <v>80</v>
      </c>
      <c r="M67" s="32">
        <v>85</v>
      </c>
      <c r="N67" s="32">
        <v>98</v>
      </c>
      <c r="O67" s="32">
        <v>92</v>
      </c>
      <c r="P67" s="32">
        <v>75</v>
      </c>
      <c r="Q67" s="32">
        <v>51</v>
      </c>
      <c r="R67" s="32">
        <v>52</v>
      </c>
      <c r="S67" s="32">
        <v>68</v>
      </c>
      <c r="T67" s="32">
        <v>67</v>
      </c>
      <c r="U67" s="32">
        <v>61</v>
      </c>
      <c r="V67" s="32">
        <v>89</v>
      </c>
      <c r="W67" s="32">
        <v>37</v>
      </c>
      <c r="X67" s="32">
        <v>1</v>
      </c>
      <c r="Y67" s="32">
        <v>1</v>
      </c>
      <c r="Z67" s="32" t="s">
        <v>207</v>
      </c>
    </row>
    <row r="68" spans="2:26" x14ac:dyDescent="0.3">
      <c r="B68" s="30" t="s">
        <v>770</v>
      </c>
      <c r="L68" s="32" t="s">
        <v>207</v>
      </c>
      <c r="M68" s="32">
        <v>-62</v>
      </c>
      <c r="N68" s="32">
        <v>-72</v>
      </c>
      <c r="O68" s="32">
        <v>-38</v>
      </c>
      <c r="P68" s="32">
        <v>77</v>
      </c>
      <c r="Q68" s="32">
        <v>-447</v>
      </c>
      <c r="R68" s="32" t="s">
        <v>207</v>
      </c>
      <c r="S68" s="32" t="s">
        <v>207</v>
      </c>
      <c r="T68" s="32" t="s">
        <v>207</v>
      </c>
      <c r="U68" s="32" t="s">
        <v>207</v>
      </c>
      <c r="V68" s="32" t="s">
        <v>207</v>
      </c>
      <c r="W68" s="32" t="s">
        <v>207</v>
      </c>
      <c r="X68" s="32" t="s">
        <v>207</v>
      </c>
      <c r="Y68" s="32" t="s">
        <v>207</v>
      </c>
      <c r="Z68" s="32" t="s">
        <v>207</v>
      </c>
    </row>
    <row r="69" spans="2:26" x14ac:dyDescent="0.3">
      <c r="B69" s="30" t="s">
        <v>771</v>
      </c>
      <c r="L69" s="32">
        <v>31</v>
      </c>
      <c r="M69" s="32" t="s">
        <v>207</v>
      </c>
      <c r="N69" s="32" t="s">
        <v>207</v>
      </c>
      <c r="O69" s="32" t="s">
        <v>207</v>
      </c>
      <c r="P69" s="32" t="s">
        <v>207</v>
      </c>
      <c r="Q69" s="32" t="s">
        <v>207</v>
      </c>
      <c r="R69" s="32" t="s">
        <v>207</v>
      </c>
      <c r="S69" s="32" t="s">
        <v>207</v>
      </c>
      <c r="T69" s="32" t="s">
        <v>207</v>
      </c>
      <c r="U69" s="32" t="s">
        <v>207</v>
      </c>
      <c r="V69" s="32" t="s">
        <v>207</v>
      </c>
      <c r="W69" s="32" t="s">
        <v>207</v>
      </c>
      <c r="X69" s="32" t="s">
        <v>207</v>
      </c>
      <c r="Y69" s="32" t="s">
        <v>207</v>
      </c>
      <c r="Z69" s="32" t="s">
        <v>207</v>
      </c>
    </row>
    <row r="70" spans="2:26" x14ac:dyDescent="0.3">
      <c r="B70" s="30" t="s">
        <v>212</v>
      </c>
      <c r="L70" s="32">
        <v>-7005</v>
      </c>
      <c r="M70" s="32">
        <v>-4911</v>
      </c>
      <c r="N70" s="32">
        <v>7227</v>
      </c>
      <c r="O70" s="32">
        <v>7485</v>
      </c>
      <c r="P70" s="32">
        <v>8673</v>
      </c>
      <c r="Q70" s="32">
        <v>8215</v>
      </c>
      <c r="R70" s="32">
        <v>7236</v>
      </c>
      <c r="S70" s="32">
        <v>6193</v>
      </c>
      <c r="T70" s="32">
        <v>6128</v>
      </c>
      <c r="U70" s="32">
        <v>5739</v>
      </c>
      <c r="V70" s="32">
        <v>5664</v>
      </c>
      <c r="W70" s="32">
        <v>4355</v>
      </c>
      <c r="X70" s="32">
        <v>4618</v>
      </c>
      <c r="Y70" s="32">
        <v>5586</v>
      </c>
      <c r="Z70" s="32">
        <v>3806</v>
      </c>
    </row>
    <row r="71" spans="2:26" x14ac:dyDescent="0.3">
      <c r="B71" s="30" t="s">
        <v>329</v>
      </c>
      <c r="L71" s="32">
        <v>-1437</v>
      </c>
      <c r="M71" s="32">
        <v>-1418</v>
      </c>
      <c r="N71" s="32">
        <v>1593</v>
      </c>
      <c r="O71" s="32">
        <v>1806</v>
      </c>
      <c r="P71" s="32">
        <v>1930</v>
      </c>
      <c r="Q71" s="32">
        <v>1811</v>
      </c>
      <c r="R71" s="32">
        <v>1829</v>
      </c>
      <c r="S71" s="32">
        <v>1499</v>
      </c>
      <c r="T71" s="32">
        <v>-8227</v>
      </c>
      <c r="U71" s="32">
        <v>1889</v>
      </c>
      <c r="V71" s="32">
        <v>1908</v>
      </c>
      <c r="W71" s="32">
        <v>1450</v>
      </c>
      <c r="X71" s="32">
        <v>1986</v>
      </c>
      <c r="Y71" s="32">
        <v>293</v>
      </c>
      <c r="Z71" s="32">
        <v>1367</v>
      </c>
    </row>
    <row r="72" spans="2:26" x14ac:dyDescent="0.3">
      <c r="B72" s="30" t="s">
        <v>214</v>
      </c>
      <c r="L72" s="32">
        <v>-5568</v>
      </c>
      <c r="M72" s="32">
        <v>-3493</v>
      </c>
      <c r="N72" s="32">
        <v>5634</v>
      </c>
      <c r="O72" s="32">
        <v>5679</v>
      </c>
      <c r="P72" s="32">
        <v>6743</v>
      </c>
      <c r="Q72" s="32">
        <v>6404</v>
      </c>
      <c r="R72" s="32">
        <v>5407</v>
      </c>
      <c r="S72" s="32">
        <v>4694</v>
      </c>
      <c r="T72" s="32">
        <v>14355</v>
      </c>
      <c r="U72" s="32">
        <v>3850</v>
      </c>
      <c r="V72" s="32">
        <v>3756</v>
      </c>
      <c r="W72" s="32">
        <v>2905</v>
      </c>
      <c r="X72" s="32">
        <v>2632</v>
      </c>
      <c r="Y72" s="32">
        <v>5293</v>
      </c>
      <c r="Z72" s="32">
        <v>2439</v>
      </c>
    </row>
    <row r="73" spans="2:26" x14ac:dyDescent="0.3">
      <c r="B73" s="30" t="s">
        <v>772</v>
      </c>
      <c r="L73" s="32">
        <v>94</v>
      </c>
      <c r="M73" s="32">
        <v>41</v>
      </c>
      <c r="N73" s="32" t="s">
        <v>207</v>
      </c>
      <c r="O73" s="32">
        <v>-41</v>
      </c>
      <c r="P73" s="32">
        <v>-8</v>
      </c>
      <c r="Q73" s="32">
        <v>-60</v>
      </c>
      <c r="R73" s="32">
        <v>-18</v>
      </c>
      <c r="S73" s="32">
        <v>-9</v>
      </c>
      <c r="T73" s="32">
        <v>-44</v>
      </c>
      <c r="U73" s="32">
        <v>-9</v>
      </c>
      <c r="V73" s="32">
        <v>3</v>
      </c>
      <c r="W73" s="32">
        <v>-7</v>
      </c>
      <c r="X73" s="32">
        <v>21</v>
      </c>
      <c r="Y73" s="32">
        <v>212</v>
      </c>
      <c r="Z73" s="32">
        <v>113</v>
      </c>
    </row>
    <row r="74" spans="2:26" x14ac:dyDescent="0.3">
      <c r="B74" s="30" t="s">
        <v>773</v>
      </c>
      <c r="L74" s="32">
        <v>-5474</v>
      </c>
      <c r="M74" s="32">
        <v>-3452</v>
      </c>
      <c r="N74" s="32">
        <v>5634</v>
      </c>
      <c r="O74" s="32">
        <v>5638</v>
      </c>
      <c r="P74" s="32">
        <v>6735</v>
      </c>
      <c r="Q74" s="32">
        <v>6344</v>
      </c>
      <c r="R74" s="32">
        <v>5389</v>
      </c>
      <c r="S74" s="32">
        <v>4685</v>
      </c>
      <c r="T74" s="32">
        <v>14311</v>
      </c>
      <c r="U74" s="32">
        <v>3841</v>
      </c>
      <c r="V74" s="32">
        <v>3759</v>
      </c>
      <c r="W74" s="32">
        <v>2898</v>
      </c>
      <c r="X74" s="32">
        <v>2653</v>
      </c>
      <c r="Y74" s="32">
        <v>5505</v>
      </c>
      <c r="Z74" s="32">
        <v>2552</v>
      </c>
    </row>
    <row r="75" spans="2:26" x14ac:dyDescent="0.3">
      <c r="B75" s="30" t="s">
        <v>331</v>
      </c>
      <c r="L75" s="32">
        <v>9125</v>
      </c>
      <c r="M75" s="32">
        <v>9225</v>
      </c>
      <c r="N75" s="32">
        <v>9322</v>
      </c>
      <c r="O75" s="32">
        <v>9620</v>
      </c>
      <c r="P75" s="32">
        <v>9679</v>
      </c>
      <c r="Q75" s="32">
        <v>9713</v>
      </c>
      <c r="R75" s="32">
        <v>9719</v>
      </c>
      <c r="S75" s="32">
        <v>9719</v>
      </c>
      <c r="T75" s="32">
        <v>9719</v>
      </c>
      <c r="U75" s="32">
        <v>9719</v>
      </c>
      <c r="V75" s="32">
        <v>9719</v>
      </c>
      <c r="W75" s="32">
        <v>9768</v>
      </c>
      <c r="X75" s="32">
        <v>9906</v>
      </c>
      <c r="Y75" s="32">
        <v>10013</v>
      </c>
      <c r="Z75" s="32">
        <v>10296</v>
      </c>
    </row>
    <row r="76" spans="2:26" x14ac:dyDescent="0.3">
      <c r="B76" s="30" t="s">
        <v>617</v>
      </c>
      <c r="L76" s="32">
        <v>9125</v>
      </c>
      <c r="M76" s="32">
        <v>9225</v>
      </c>
      <c r="N76" s="32">
        <v>9322</v>
      </c>
      <c r="O76" s="32">
        <v>9620</v>
      </c>
      <c r="P76" s="32">
        <v>9679</v>
      </c>
      <c r="Q76" s="32">
        <v>9713</v>
      </c>
      <c r="R76" s="32">
        <v>9719</v>
      </c>
      <c r="S76" s="32">
        <v>9719</v>
      </c>
      <c r="T76" s="32">
        <v>9719</v>
      </c>
      <c r="U76" s="32">
        <v>9719</v>
      </c>
      <c r="V76" s="32">
        <v>9721</v>
      </c>
      <c r="W76" s="32">
        <v>9814</v>
      </c>
      <c r="X76" s="32">
        <v>10047</v>
      </c>
      <c r="Y76" s="32">
        <v>10215</v>
      </c>
      <c r="Z76" s="32">
        <v>10635</v>
      </c>
    </row>
    <row r="77" spans="2:26" x14ac:dyDescent="0.3">
      <c r="B77" s="30" t="s">
        <v>220</v>
      </c>
      <c r="L77" s="32">
        <v>9125</v>
      </c>
      <c r="M77" s="32">
        <v>9125</v>
      </c>
      <c r="N77" s="32">
        <v>9258</v>
      </c>
      <c r="O77" s="32">
        <v>9617</v>
      </c>
      <c r="P77" s="32">
        <v>9634</v>
      </c>
      <c r="Q77" s="32">
        <v>9705</v>
      </c>
      <c r="R77" s="32">
        <v>9719</v>
      </c>
      <c r="S77" s="32">
        <v>9719</v>
      </c>
      <c r="T77" s="32">
        <v>9719</v>
      </c>
      <c r="U77" s="32">
        <v>9719</v>
      </c>
      <c r="V77" s="32">
        <v>9719</v>
      </c>
      <c r="W77" s="32">
        <v>9719</v>
      </c>
      <c r="X77" s="32">
        <v>9778</v>
      </c>
      <c r="Y77" s="32">
        <v>9858</v>
      </c>
      <c r="Z77" s="32">
        <v>10002</v>
      </c>
    </row>
    <row r="78" spans="2:26" x14ac:dyDescent="0.3">
      <c r="B78" s="30" t="s">
        <v>774</v>
      </c>
      <c r="L78" s="32">
        <v>-0.6</v>
      </c>
      <c r="M78" s="32">
        <v>-0.37</v>
      </c>
      <c r="N78" s="32">
        <v>0.6</v>
      </c>
      <c r="O78" s="32">
        <v>0.59</v>
      </c>
      <c r="P78" s="32">
        <v>0.7</v>
      </c>
      <c r="Q78" s="32">
        <v>0.65</v>
      </c>
      <c r="R78" s="32">
        <v>0.55000000000000004</v>
      </c>
      <c r="S78" s="32">
        <v>0.48</v>
      </c>
      <c r="T78" s="32">
        <v>1.47</v>
      </c>
      <c r="U78" s="32">
        <v>0.4</v>
      </c>
      <c r="V78" s="32">
        <v>0.39</v>
      </c>
      <c r="W78" s="32">
        <v>0.3</v>
      </c>
      <c r="X78" s="32">
        <v>0.27</v>
      </c>
      <c r="Y78" s="32">
        <v>0.55000000000000004</v>
      </c>
      <c r="Z78" s="32">
        <v>0.25</v>
      </c>
    </row>
    <row r="79" spans="2:26" x14ac:dyDescent="0.3">
      <c r="B79" s="30" t="s">
        <v>775</v>
      </c>
      <c r="L79" s="32">
        <v>-0.6</v>
      </c>
      <c r="M79" s="32">
        <v>-0.37</v>
      </c>
      <c r="N79" s="32">
        <v>0.6</v>
      </c>
      <c r="O79" s="32">
        <v>0.59</v>
      </c>
      <c r="P79" s="32">
        <v>0.7</v>
      </c>
      <c r="Q79" s="32">
        <v>0.65</v>
      </c>
      <c r="R79" s="32">
        <v>0.55000000000000004</v>
      </c>
      <c r="S79" s="32">
        <v>0.48</v>
      </c>
      <c r="T79" s="32">
        <v>1.47</v>
      </c>
      <c r="U79" s="32">
        <v>0.4</v>
      </c>
      <c r="V79" s="32">
        <v>0.39</v>
      </c>
      <c r="W79" s="32">
        <v>0.3</v>
      </c>
      <c r="X79" s="32">
        <v>0.27</v>
      </c>
      <c r="Y79" s="32">
        <v>0.54</v>
      </c>
      <c r="Z79" s="32">
        <v>0.25</v>
      </c>
    </row>
    <row r="80" spans="2:26" x14ac:dyDescent="0.3">
      <c r="B80" s="30" t="s">
        <v>431</v>
      </c>
      <c r="L80" s="32">
        <v>0.03</v>
      </c>
      <c r="M80" s="32">
        <v>0.04</v>
      </c>
      <c r="N80" s="32">
        <v>0.03</v>
      </c>
      <c r="O80" s="32">
        <v>0.03</v>
      </c>
      <c r="P80" s="32">
        <v>0.03</v>
      </c>
      <c r="Q80" s="32">
        <v>0.03</v>
      </c>
      <c r="R80" s="32">
        <v>0.03</v>
      </c>
      <c r="S80" s="32">
        <v>0.03</v>
      </c>
      <c r="T80" s="32">
        <v>0.03</v>
      </c>
      <c r="U80" s="32">
        <v>0.03</v>
      </c>
      <c r="V80" s="32">
        <v>0.03</v>
      </c>
      <c r="W80" s="32" t="s">
        <v>207</v>
      </c>
      <c r="X80" s="32">
        <v>0.03</v>
      </c>
      <c r="Y80" s="32">
        <v>0.03</v>
      </c>
      <c r="Z80" s="32" t="s">
        <v>207</v>
      </c>
    </row>
    <row r="82" spans="2:26" s="72" customFormat="1" x14ac:dyDescent="0.3">
      <c r="B82" s="54" t="s">
        <v>223</v>
      </c>
      <c r="C82" s="3"/>
      <c r="D82" s="55"/>
      <c r="E82" s="55"/>
      <c r="F82" s="55"/>
      <c r="G82" s="55"/>
      <c r="H82" s="55"/>
      <c r="I82" s="55"/>
      <c r="J82" s="55"/>
      <c r="K82" s="3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2:26" x14ac:dyDescent="0.3">
      <c r="B83" s="30" t="s">
        <v>225</v>
      </c>
      <c r="L83" s="32">
        <v>14795</v>
      </c>
      <c r="M83" s="32">
        <v>9825</v>
      </c>
      <c r="N83" s="32">
        <v>13159</v>
      </c>
      <c r="O83" s="32">
        <v>10956</v>
      </c>
      <c r="P83" s="32">
        <v>8255</v>
      </c>
      <c r="Q83" s="32">
        <v>9387</v>
      </c>
      <c r="R83" s="32">
        <v>13171</v>
      </c>
      <c r="S83" s="32">
        <v>12500</v>
      </c>
      <c r="T83" s="32">
        <v>11954</v>
      </c>
      <c r="U83" s="32">
        <v>10817</v>
      </c>
      <c r="V83" s="32">
        <v>13199</v>
      </c>
      <c r="W83" s="32">
        <v>12064</v>
      </c>
      <c r="X83" s="32">
        <v>10462</v>
      </c>
      <c r="Y83" s="32">
        <v>9055</v>
      </c>
      <c r="Z83" s="32">
        <v>8384</v>
      </c>
    </row>
    <row r="84" spans="2:26" x14ac:dyDescent="0.3">
      <c r="B84" s="30" t="s">
        <v>336</v>
      </c>
      <c r="L84" s="32">
        <v>5529</v>
      </c>
      <c r="M84" s="32">
        <v>3559</v>
      </c>
      <c r="N84" s="32">
        <v>3131</v>
      </c>
      <c r="O84" s="32">
        <v>5001</v>
      </c>
      <c r="P84" s="32">
        <v>5579</v>
      </c>
      <c r="Q84" s="32">
        <v>5583</v>
      </c>
      <c r="R84" s="32">
        <v>4975</v>
      </c>
      <c r="S84" s="32">
        <v>5220</v>
      </c>
      <c r="T84" s="32">
        <v>4113</v>
      </c>
      <c r="U84" s="32">
        <v>2312</v>
      </c>
      <c r="V84" s="32">
        <v>2526</v>
      </c>
      <c r="W84" s="32">
        <v>3721</v>
      </c>
      <c r="X84" s="32">
        <v>1326</v>
      </c>
      <c r="Y84" s="32">
        <v>2091</v>
      </c>
      <c r="Z84" s="32">
        <v>1936</v>
      </c>
    </row>
    <row r="85" spans="2:26" x14ac:dyDescent="0.3">
      <c r="B85" s="30" t="s">
        <v>776</v>
      </c>
      <c r="L85" s="32">
        <v>219</v>
      </c>
      <c r="M85" s="32">
        <v>675</v>
      </c>
      <c r="N85" s="32">
        <v>659</v>
      </c>
      <c r="O85" s="32">
        <v>1152</v>
      </c>
      <c r="P85" s="32">
        <v>1142</v>
      </c>
      <c r="Q85" s="32" t="s">
        <v>207</v>
      </c>
      <c r="R85" s="32" t="s">
        <v>207</v>
      </c>
      <c r="S85" s="32" t="s">
        <v>207</v>
      </c>
      <c r="T85" s="32" t="s">
        <v>207</v>
      </c>
      <c r="U85" s="32" t="s">
        <v>207</v>
      </c>
      <c r="V85" s="32" t="s">
        <v>207</v>
      </c>
      <c r="W85" s="32" t="s">
        <v>207</v>
      </c>
      <c r="X85" s="32" t="s">
        <v>207</v>
      </c>
      <c r="Y85" s="32" t="s">
        <v>207</v>
      </c>
      <c r="Z85" s="32" t="s">
        <v>207</v>
      </c>
    </row>
    <row r="86" spans="2:26" x14ac:dyDescent="0.3">
      <c r="B86" s="30" t="s">
        <v>574</v>
      </c>
      <c r="L86" s="32">
        <v>2627</v>
      </c>
      <c r="M86" s="32">
        <v>2735</v>
      </c>
      <c r="N86" s="32">
        <v>2739</v>
      </c>
      <c r="O86" s="32">
        <v>2502</v>
      </c>
      <c r="P86" s="32">
        <v>2597</v>
      </c>
      <c r="Q86" s="32">
        <v>2578</v>
      </c>
      <c r="R86" s="32">
        <v>2411</v>
      </c>
      <c r="S86" s="32">
        <v>2432</v>
      </c>
      <c r="T86" s="32">
        <v>2419</v>
      </c>
      <c r="U86" s="32">
        <v>2264</v>
      </c>
      <c r="V86" s="32">
        <v>2060</v>
      </c>
      <c r="W86" s="32">
        <v>2106</v>
      </c>
      <c r="X86" s="32">
        <v>2659</v>
      </c>
      <c r="Y86" s="32">
        <v>2738</v>
      </c>
      <c r="Z86" s="32">
        <v>2689</v>
      </c>
    </row>
    <row r="87" spans="2:26" x14ac:dyDescent="0.3">
      <c r="B87" s="30" t="s">
        <v>350</v>
      </c>
      <c r="L87" s="32">
        <v>1415</v>
      </c>
      <c r="M87" s="32">
        <v>2805</v>
      </c>
      <c r="N87" s="32">
        <v>4150</v>
      </c>
      <c r="O87" s="32">
        <v>896</v>
      </c>
      <c r="P87" s="32">
        <v>2097</v>
      </c>
      <c r="Q87" s="32">
        <v>3603</v>
      </c>
      <c r="R87" s="32">
        <v>1456</v>
      </c>
      <c r="S87" s="32">
        <v>2650</v>
      </c>
      <c r="T87" s="32">
        <v>2808</v>
      </c>
      <c r="U87" s="32" t="s">
        <v>207</v>
      </c>
      <c r="V87" s="32" t="s">
        <v>207</v>
      </c>
      <c r="W87" s="32" t="s">
        <v>207</v>
      </c>
      <c r="X87" s="32" t="s">
        <v>207</v>
      </c>
      <c r="Y87" s="32" t="s">
        <v>207</v>
      </c>
      <c r="Z87" s="32" t="s">
        <v>207</v>
      </c>
    </row>
    <row r="88" spans="2:26" x14ac:dyDescent="0.3">
      <c r="B88" s="30" t="s">
        <v>777</v>
      </c>
      <c r="L88" s="32" t="s">
        <v>207</v>
      </c>
      <c r="M88" s="32" t="s">
        <v>207</v>
      </c>
      <c r="N88" s="32" t="s">
        <v>207</v>
      </c>
      <c r="O88" s="32" t="s">
        <v>207</v>
      </c>
      <c r="P88" s="32" t="s">
        <v>207</v>
      </c>
      <c r="Q88" s="32" t="s">
        <v>207</v>
      </c>
      <c r="R88" s="32" t="s">
        <v>207</v>
      </c>
      <c r="S88" s="32" t="s">
        <v>207</v>
      </c>
      <c r="T88" s="32" t="s">
        <v>207</v>
      </c>
      <c r="U88" s="32" t="s">
        <v>207</v>
      </c>
      <c r="V88" s="32" t="s">
        <v>207</v>
      </c>
      <c r="W88" s="32" t="s">
        <v>207</v>
      </c>
      <c r="X88" s="32">
        <v>636</v>
      </c>
      <c r="Y88" s="32">
        <v>608</v>
      </c>
      <c r="Z88" s="32">
        <v>812</v>
      </c>
    </row>
    <row r="89" spans="2:26" x14ac:dyDescent="0.3">
      <c r="B89" s="30" t="s">
        <v>778</v>
      </c>
      <c r="L89" s="32" t="s">
        <v>207</v>
      </c>
      <c r="M89" s="32" t="s">
        <v>207</v>
      </c>
      <c r="N89" s="32" t="s">
        <v>207</v>
      </c>
      <c r="O89" s="32" t="s">
        <v>207</v>
      </c>
      <c r="P89" s="32" t="s">
        <v>207</v>
      </c>
      <c r="Q89" s="32" t="s">
        <v>207</v>
      </c>
      <c r="R89" s="32" t="s">
        <v>207</v>
      </c>
      <c r="S89" s="32" t="s">
        <v>207</v>
      </c>
      <c r="T89" s="32" t="s">
        <v>207</v>
      </c>
      <c r="U89" s="32" t="s">
        <v>207</v>
      </c>
      <c r="V89" s="32" t="s">
        <v>207</v>
      </c>
      <c r="W89" s="32" t="s">
        <v>207</v>
      </c>
      <c r="X89" s="32" t="s">
        <v>207</v>
      </c>
      <c r="Y89" s="32" t="s">
        <v>207</v>
      </c>
      <c r="Z89" s="32">
        <v>621</v>
      </c>
    </row>
    <row r="90" spans="2:26" x14ac:dyDescent="0.3">
      <c r="B90" s="30" t="s">
        <v>436</v>
      </c>
      <c r="L90" s="32" t="s">
        <v>207</v>
      </c>
      <c r="M90" s="32" t="s">
        <v>207</v>
      </c>
      <c r="N90" s="32" t="s">
        <v>207</v>
      </c>
      <c r="O90" s="32" t="s">
        <v>207</v>
      </c>
      <c r="P90" s="32" t="s">
        <v>207</v>
      </c>
      <c r="Q90" s="32" t="s">
        <v>207</v>
      </c>
      <c r="R90" s="32" t="s">
        <v>207</v>
      </c>
      <c r="S90" s="32" t="s">
        <v>207</v>
      </c>
      <c r="T90" s="32" t="s">
        <v>207</v>
      </c>
      <c r="U90" s="32">
        <v>2217</v>
      </c>
      <c r="V90" s="32">
        <v>3195</v>
      </c>
      <c r="W90" s="32">
        <v>3430</v>
      </c>
      <c r="X90" s="32">
        <v>2545</v>
      </c>
      <c r="Y90" s="32">
        <v>3154</v>
      </c>
      <c r="Z90" s="32">
        <v>3681</v>
      </c>
    </row>
    <row r="91" spans="2:26" x14ac:dyDescent="0.3">
      <c r="B91" s="30" t="s">
        <v>521</v>
      </c>
      <c r="L91" s="32">
        <v>1752</v>
      </c>
      <c r="M91" s="32">
        <v>2343</v>
      </c>
      <c r="N91" s="32">
        <v>2236</v>
      </c>
      <c r="O91" s="32">
        <v>2090</v>
      </c>
      <c r="P91" s="32">
        <v>1521</v>
      </c>
      <c r="Q91" s="32">
        <v>1560</v>
      </c>
      <c r="R91" s="32">
        <v>1694</v>
      </c>
      <c r="S91" s="32">
        <v>1273</v>
      </c>
      <c r="T91" s="32">
        <v>746</v>
      </c>
      <c r="U91" s="32" t="s">
        <v>207</v>
      </c>
      <c r="V91" s="32" t="s">
        <v>207</v>
      </c>
      <c r="W91" s="32" t="s">
        <v>207</v>
      </c>
      <c r="X91" s="32" t="s">
        <v>207</v>
      </c>
      <c r="Y91" s="32" t="s">
        <v>207</v>
      </c>
      <c r="Z91" s="32" t="s">
        <v>207</v>
      </c>
    </row>
    <row r="92" spans="2:26" x14ac:dyDescent="0.3">
      <c r="B92" s="30" t="s">
        <v>351</v>
      </c>
      <c r="L92" s="32">
        <v>2013</v>
      </c>
      <c r="M92" s="32">
        <v>4825</v>
      </c>
      <c r="N92" s="32">
        <v>4825</v>
      </c>
      <c r="O92" s="32" t="s">
        <v>207</v>
      </c>
      <c r="P92" s="32">
        <v>668</v>
      </c>
      <c r="Q92" s="32">
        <v>2356</v>
      </c>
      <c r="R92" s="32">
        <v>7565</v>
      </c>
      <c r="S92" s="32">
        <v>5565</v>
      </c>
      <c r="T92" s="32">
        <v>5565</v>
      </c>
      <c r="U92" s="32">
        <v>10029</v>
      </c>
      <c r="V92" s="32">
        <v>5472</v>
      </c>
      <c r="W92" s="32">
        <v>7671</v>
      </c>
      <c r="X92" s="32" t="s">
        <v>207</v>
      </c>
      <c r="Y92" s="32" t="s">
        <v>207</v>
      </c>
      <c r="Z92" s="32" t="s">
        <v>207</v>
      </c>
    </row>
    <row r="93" spans="2:26" x14ac:dyDescent="0.3">
      <c r="B93" s="30" t="s">
        <v>437</v>
      </c>
      <c r="L93" s="32">
        <v>28350</v>
      </c>
      <c r="M93" s="32">
        <v>26767</v>
      </c>
      <c r="N93" s="32">
        <v>30899</v>
      </c>
      <c r="O93" s="32">
        <v>22597</v>
      </c>
      <c r="P93" s="32">
        <v>21859</v>
      </c>
      <c r="Q93" s="32">
        <v>25067</v>
      </c>
      <c r="R93" s="32">
        <v>31272</v>
      </c>
      <c r="S93" s="32">
        <v>29640</v>
      </c>
      <c r="T93" s="32">
        <v>27605</v>
      </c>
      <c r="U93" s="32">
        <v>27639</v>
      </c>
      <c r="V93" s="32">
        <v>26452</v>
      </c>
      <c r="W93" s="32">
        <v>28992</v>
      </c>
      <c r="X93" s="32">
        <v>17628</v>
      </c>
      <c r="Y93" s="32">
        <v>17646</v>
      </c>
      <c r="Z93" s="32">
        <v>18123</v>
      </c>
    </row>
    <row r="94" spans="2:26" x14ac:dyDescent="0.3">
      <c r="B94" s="30" t="s">
        <v>691</v>
      </c>
      <c r="L94" s="32" t="s">
        <v>207</v>
      </c>
      <c r="M94" s="32" t="s">
        <v>207</v>
      </c>
      <c r="N94" s="32" t="s">
        <v>207</v>
      </c>
      <c r="O94" s="32" t="s">
        <v>207</v>
      </c>
      <c r="P94" s="32" t="s">
        <v>207</v>
      </c>
      <c r="Q94" s="32" t="s">
        <v>207</v>
      </c>
      <c r="R94" s="32" t="s">
        <v>207</v>
      </c>
      <c r="S94" s="32" t="s">
        <v>207</v>
      </c>
      <c r="T94" s="32" t="s">
        <v>207</v>
      </c>
      <c r="U94" s="32" t="s">
        <v>207</v>
      </c>
      <c r="V94" s="32">
        <v>144571</v>
      </c>
      <c r="W94" s="32" t="s">
        <v>207</v>
      </c>
      <c r="X94" s="32" t="s">
        <v>207</v>
      </c>
      <c r="Y94" s="32" t="s">
        <v>207</v>
      </c>
      <c r="Z94" s="32" t="s">
        <v>207</v>
      </c>
    </row>
    <row r="95" spans="2:26" x14ac:dyDescent="0.3">
      <c r="B95" s="30" t="s">
        <v>532</v>
      </c>
      <c r="L95" s="32">
        <v>181960</v>
      </c>
      <c r="M95" s="32">
        <v>182234</v>
      </c>
      <c r="N95" s="32">
        <v>183657</v>
      </c>
      <c r="O95" s="32">
        <v>191493</v>
      </c>
      <c r="P95" s="32">
        <v>191966</v>
      </c>
      <c r="Q95" s="32">
        <v>187502</v>
      </c>
      <c r="R95" s="32">
        <v>165715</v>
      </c>
      <c r="S95" s="32">
        <v>158650</v>
      </c>
      <c r="T95" s="32">
        <v>154259</v>
      </c>
      <c r="U95" s="32">
        <v>145581</v>
      </c>
      <c r="V95" s="32" t="s">
        <v>207</v>
      </c>
      <c r="W95" s="32">
        <v>143439</v>
      </c>
      <c r="X95" s="32">
        <v>146783</v>
      </c>
      <c r="Y95" s="32">
        <v>144454</v>
      </c>
      <c r="Z95" s="32">
        <v>133423</v>
      </c>
    </row>
    <row r="96" spans="2:26" x14ac:dyDescent="0.3">
      <c r="B96" s="30" t="s">
        <v>240</v>
      </c>
      <c r="L96" s="32">
        <v>25962</v>
      </c>
      <c r="M96" s="32">
        <v>26485</v>
      </c>
      <c r="N96" s="32">
        <v>26981</v>
      </c>
      <c r="O96" s="32" t="s">
        <v>207</v>
      </c>
      <c r="P96" s="32" t="s">
        <v>207</v>
      </c>
      <c r="Q96" s="32" t="s">
        <v>207</v>
      </c>
      <c r="R96" s="32" t="s">
        <v>207</v>
      </c>
      <c r="S96" s="32" t="s">
        <v>207</v>
      </c>
      <c r="T96" s="32" t="s">
        <v>207</v>
      </c>
      <c r="U96" s="32" t="s">
        <v>207</v>
      </c>
      <c r="V96" s="32" t="s">
        <v>207</v>
      </c>
      <c r="W96" s="32" t="s">
        <v>207</v>
      </c>
      <c r="X96" s="32" t="s">
        <v>207</v>
      </c>
      <c r="Y96" s="32" t="s">
        <v>207</v>
      </c>
      <c r="Z96" s="32" t="s">
        <v>207</v>
      </c>
    </row>
    <row r="97" spans="2:26" x14ac:dyDescent="0.3">
      <c r="B97" s="30" t="s">
        <v>779</v>
      </c>
      <c r="L97" s="32">
        <v>2896</v>
      </c>
      <c r="M97" s="32">
        <v>4087</v>
      </c>
      <c r="N97" s="32">
        <v>4149</v>
      </c>
      <c r="O97" s="32">
        <v>3810</v>
      </c>
      <c r="P97" s="32">
        <v>3859</v>
      </c>
      <c r="Q97" s="32">
        <v>3467</v>
      </c>
      <c r="R97" s="32">
        <v>2903</v>
      </c>
      <c r="S97" s="32">
        <v>3375</v>
      </c>
      <c r="T97" s="32">
        <v>4965</v>
      </c>
      <c r="U97" s="32">
        <v>5022</v>
      </c>
      <c r="V97" s="32">
        <v>4745</v>
      </c>
      <c r="W97" s="32">
        <v>4780</v>
      </c>
      <c r="X97" s="32" t="s">
        <v>207</v>
      </c>
      <c r="Y97" s="32" t="s">
        <v>207</v>
      </c>
      <c r="Z97" s="32" t="s">
        <v>207</v>
      </c>
    </row>
    <row r="98" spans="2:26" x14ac:dyDescent="0.3">
      <c r="B98" s="30" t="s">
        <v>242</v>
      </c>
      <c r="L98" s="32">
        <v>47109</v>
      </c>
      <c r="M98" s="32">
        <v>47109</v>
      </c>
      <c r="N98" s="32">
        <v>53630</v>
      </c>
      <c r="O98" s="32">
        <v>55271</v>
      </c>
      <c r="P98" s="32">
        <v>55271</v>
      </c>
      <c r="Q98" s="32">
        <v>54731</v>
      </c>
      <c r="R98" s="32">
        <v>43866</v>
      </c>
      <c r="S98" s="32">
        <v>43866</v>
      </c>
      <c r="T98" s="32">
        <v>43866</v>
      </c>
      <c r="U98" s="32">
        <v>45169</v>
      </c>
      <c r="V98" s="32">
        <v>45921</v>
      </c>
      <c r="W98" s="32">
        <v>45921</v>
      </c>
      <c r="X98" s="32">
        <v>52641</v>
      </c>
      <c r="Y98" s="32">
        <v>52641</v>
      </c>
      <c r="Z98" s="32">
        <v>52641</v>
      </c>
    </row>
    <row r="99" spans="2:26" x14ac:dyDescent="0.3">
      <c r="B99" s="30" t="s">
        <v>780</v>
      </c>
      <c r="L99" s="32">
        <v>73224</v>
      </c>
      <c r="M99" s="32">
        <v>74251</v>
      </c>
      <c r="N99" s="32">
        <v>75795</v>
      </c>
      <c r="O99" s="32">
        <v>76285</v>
      </c>
      <c r="P99" s="32">
        <v>76441</v>
      </c>
      <c r="Q99" s="32">
        <v>77289</v>
      </c>
      <c r="R99" s="32">
        <v>74733</v>
      </c>
      <c r="S99" s="32">
        <v>74372</v>
      </c>
      <c r="T99" s="32">
        <v>74420</v>
      </c>
      <c r="U99" s="32">
        <v>76961</v>
      </c>
      <c r="V99" s="32">
        <v>52103</v>
      </c>
      <c r="W99" s="32">
        <v>52143</v>
      </c>
      <c r="X99" s="32" t="s">
        <v>207</v>
      </c>
      <c r="Y99" s="32" t="s">
        <v>207</v>
      </c>
      <c r="Z99" s="32" t="s">
        <v>207</v>
      </c>
    </row>
    <row r="100" spans="2:26" x14ac:dyDescent="0.3">
      <c r="B100" s="30" t="s">
        <v>781</v>
      </c>
      <c r="L100" s="32" t="s">
        <v>207</v>
      </c>
      <c r="M100" s="32" t="s">
        <v>207</v>
      </c>
      <c r="N100" s="32" t="s">
        <v>207</v>
      </c>
      <c r="O100" s="32" t="s">
        <v>207</v>
      </c>
      <c r="P100" s="32" t="s">
        <v>207</v>
      </c>
      <c r="Q100" s="32" t="s">
        <v>207</v>
      </c>
      <c r="R100" s="32" t="s">
        <v>207</v>
      </c>
      <c r="S100" s="32" t="s">
        <v>207</v>
      </c>
      <c r="T100" s="32" t="s">
        <v>207</v>
      </c>
      <c r="U100" s="32" t="s">
        <v>207</v>
      </c>
      <c r="V100" s="32" t="s">
        <v>207</v>
      </c>
      <c r="W100" s="32" t="s">
        <v>207</v>
      </c>
      <c r="X100" s="32">
        <v>55728</v>
      </c>
      <c r="Y100" s="32">
        <v>55728</v>
      </c>
      <c r="Z100" s="32">
        <v>55828</v>
      </c>
    </row>
    <row r="101" spans="2:26" x14ac:dyDescent="0.3">
      <c r="B101" s="30" t="s">
        <v>782</v>
      </c>
      <c r="L101" s="32" t="s">
        <v>207</v>
      </c>
      <c r="M101" s="32" t="s">
        <v>207</v>
      </c>
      <c r="N101" s="32" t="s">
        <v>207</v>
      </c>
      <c r="O101" s="32" t="s">
        <v>207</v>
      </c>
      <c r="P101" s="32" t="s">
        <v>207</v>
      </c>
      <c r="Q101" s="32" t="s">
        <v>207</v>
      </c>
      <c r="R101" s="32" t="s">
        <v>207</v>
      </c>
      <c r="S101" s="32" t="s">
        <v>207</v>
      </c>
      <c r="T101" s="32" t="s">
        <v>207</v>
      </c>
      <c r="U101" s="32" t="s">
        <v>207</v>
      </c>
      <c r="V101" s="32" t="s">
        <v>207</v>
      </c>
      <c r="W101" s="32" t="s">
        <v>207</v>
      </c>
      <c r="X101" s="32">
        <v>4569</v>
      </c>
      <c r="Y101" s="32">
        <v>4626</v>
      </c>
      <c r="Z101" s="32">
        <v>4821</v>
      </c>
    </row>
    <row r="102" spans="2:26" x14ac:dyDescent="0.3">
      <c r="B102" s="30" t="s">
        <v>243</v>
      </c>
      <c r="L102" s="32">
        <v>873</v>
      </c>
      <c r="M102" s="32">
        <v>963</v>
      </c>
      <c r="N102" s="32">
        <v>1062</v>
      </c>
      <c r="O102" s="32">
        <v>1422</v>
      </c>
      <c r="P102" s="32">
        <v>1477</v>
      </c>
      <c r="Q102" s="32">
        <v>1466</v>
      </c>
      <c r="R102" s="32">
        <v>1774</v>
      </c>
      <c r="S102" s="32">
        <v>1435</v>
      </c>
      <c r="T102" s="32">
        <v>1464</v>
      </c>
      <c r="U102" s="32">
        <v>2294</v>
      </c>
      <c r="V102" s="32">
        <v>2267</v>
      </c>
      <c r="W102" s="32">
        <v>2175</v>
      </c>
      <c r="X102" s="32">
        <v>1282</v>
      </c>
      <c r="Y102" s="32">
        <v>1375</v>
      </c>
      <c r="Z102" s="32">
        <v>2273</v>
      </c>
    </row>
    <row r="103" spans="2:26" x14ac:dyDescent="0.3">
      <c r="B103" s="30" t="s">
        <v>783</v>
      </c>
      <c r="L103" s="32" t="s">
        <v>207</v>
      </c>
      <c r="M103" s="32" t="s">
        <v>207</v>
      </c>
      <c r="N103" s="32" t="s">
        <v>207</v>
      </c>
      <c r="O103" s="32" t="s">
        <v>207</v>
      </c>
      <c r="P103" s="32" t="s">
        <v>207</v>
      </c>
      <c r="Q103" s="32" t="s">
        <v>207</v>
      </c>
      <c r="R103" s="32" t="s">
        <v>207</v>
      </c>
      <c r="S103" s="32" t="s">
        <v>207</v>
      </c>
      <c r="T103" s="32" t="s">
        <v>207</v>
      </c>
      <c r="U103" s="32" t="s">
        <v>207</v>
      </c>
      <c r="V103" s="32" t="s">
        <v>207</v>
      </c>
      <c r="W103" s="32" t="s">
        <v>207</v>
      </c>
      <c r="X103" s="32">
        <v>114220</v>
      </c>
      <c r="Y103" s="32">
        <v>114370</v>
      </c>
      <c r="Z103" s="32">
        <v>115563</v>
      </c>
    </row>
    <row r="104" spans="2:26" x14ac:dyDescent="0.3">
      <c r="B104" s="30" t="s">
        <v>244</v>
      </c>
      <c r="L104" s="32">
        <v>360374</v>
      </c>
      <c r="M104" s="32">
        <v>361896</v>
      </c>
      <c r="N104" s="32">
        <v>376173</v>
      </c>
      <c r="O104" s="32">
        <v>350878</v>
      </c>
      <c r="P104" s="32">
        <v>350873</v>
      </c>
      <c r="Q104" s="32">
        <v>349522</v>
      </c>
      <c r="R104" s="32">
        <v>320263</v>
      </c>
      <c r="S104" s="32">
        <v>311338</v>
      </c>
      <c r="T104" s="32">
        <v>306579</v>
      </c>
      <c r="U104" s="32">
        <v>302666</v>
      </c>
      <c r="V104" s="32">
        <v>276059</v>
      </c>
      <c r="W104" s="32">
        <v>277450</v>
      </c>
      <c r="X104" s="32">
        <v>278631</v>
      </c>
      <c r="Y104" s="32">
        <v>276470</v>
      </c>
      <c r="Z104" s="32">
        <v>267109</v>
      </c>
    </row>
    <row r="105" spans="2:26" x14ac:dyDescent="0.3">
      <c r="B105" s="30" t="s">
        <v>246</v>
      </c>
      <c r="L105" s="32">
        <v>3955</v>
      </c>
      <c r="M105" s="32">
        <v>2805</v>
      </c>
      <c r="N105" s="32">
        <v>3202</v>
      </c>
      <c r="O105" s="32">
        <v>2544</v>
      </c>
      <c r="P105" s="32">
        <v>3632</v>
      </c>
      <c r="Q105" s="32">
        <v>2357</v>
      </c>
      <c r="R105" s="32">
        <v>2589</v>
      </c>
      <c r="S105" s="32">
        <v>1551</v>
      </c>
      <c r="T105" s="32">
        <v>2601</v>
      </c>
      <c r="U105" s="32">
        <v>1825</v>
      </c>
      <c r="V105" s="32">
        <v>2194</v>
      </c>
      <c r="W105" s="32">
        <v>2042</v>
      </c>
      <c r="X105" s="32">
        <v>1909</v>
      </c>
      <c r="Y105" s="32">
        <v>2109</v>
      </c>
      <c r="Z105" s="32">
        <v>1641</v>
      </c>
    </row>
    <row r="106" spans="2:26" x14ac:dyDescent="0.3">
      <c r="B106" s="30" t="s">
        <v>784</v>
      </c>
      <c r="L106" s="32">
        <v>425</v>
      </c>
      <c r="M106" s="32">
        <v>1700</v>
      </c>
      <c r="N106" s="32">
        <v>3188</v>
      </c>
      <c r="O106" s="32">
        <v>339</v>
      </c>
      <c r="P106" s="32">
        <v>1344</v>
      </c>
      <c r="Q106" s="32">
        <v>2627</v>
      </c>
      <c r="R106" s="32">
        <v>760</v>
      </c>
      <c r="S106" s="32">
        <v>1962</v>
      </c>
      <c r="T106" s="32">
        <v>2173</v>
      </c>
      <c r="U106" s="32">
        <v>447</v>
      </c>
      <c r="V106" s="32">
        <v>1310</v>
      </c>
      <c r="W106" s="32">
        <v>1678</v>
      </c>
      <c r="X106" s="32" t="s">
        <v>207</v>
      </c>
      <c r="Y106" s="32" t="s">
        <v>207</v>
      </c>
      <c r="Z106" s="32" t="s">
        <v>207</v>
      </c>
    </row>
    <row r="107" spans="2:26" x14ac:dyDescent="0.3">
      <c r="B107" s="30" t="s">
        <v>785</v>
      </c>
      <c r="L107" s="32">
        <v>2844</v>
      </c>
      <c r="M107" s="32">
        <v>2460</v>
      </c>
      <c r="N107" s="32">
        <v>3088</v>
      </c>
      <c r="O107" s="32">
        <v>1671</v>
      </c>
      <c r="P107" s="32">
        <v>2009</v>
      </c>
      <c r="Q107" s="32">
        <v>1959</v>
      </c>
      <c r="R107" s="32">
        <v>968</v>
      </c>
      <c r="S107" s="32">
        <v>1115</v>
      </c>
      <c r="T107" s="32">
        <v>1000</v>
      </c>
      <c r="U107" s="32">
        <v>910</v>
      </c>
      <c r="V107" s="32">
        <v>974</v>
      </c>
      <c r="W107" s="32">
        <v>887</v>
      </c>
      <c r="X107" s="32" t="s">
        <v>207</v>
      </c>
      <c r="Y107" s="32" t="s">
        <v>207</v>
      </c>
      <c r="Z107" s="32" t="s">
        <v>207</v>
      </c>
    </row>
    <row r="108" spans="2:26" x14ac:dyDescent="0.3">
      <c r="B108" s="30" t="s">
        <v>786</v>
      </c>
      <c r="L108" s="32">
        <v>1972</v>
      </c>
      <c r="M108" s="32">
        <v>1372</v>
      </c>
      <c r="N108" s="32">
        <v>2950</v>
      </c>
      <c r="O108" s="32">
        <v>2475</v>
      </c>
      <c r="P108" s="32">
        <v>2782</v>
      </c>
      <c r="Q108" s="32">
        <v>2584</v>
      </c>
      <c r="R108" s="32">
        <v>1928</v>
      </c>
      <c r="S108" s="32">
        <v>2769</v>
      </c>
      <c r="T108" s="32">
        <v>2375</v>
      </c>
      <c r="U108" s="32">
        <v>1655</v>
      </c>
      <c r="V108" s="32">
        <v>1872</v>
      </c>
      <c r="W108" s="32">
        <v>1533</v>
      </c>
      <c r="X108" s="32" t="s">
        <v>207</v>
      </c>
      <c r="Y108" s="32" t="s">
        <v>207</v>
      </c>
      <c r="Z108" s="32" t="s">
        <v>207</v>
      </c>
    </row>
    <row r="109" spans="2:26" x14ac:dyDescent="0.3">
      <c r="B109" s="30" t="s">
        <v>787</v>
      </c>
      <c r="L109" s="32">
        <v>1355</v>
      </c>
      <c r="M109" s="32">
        <v>829</v>
      </c>
      <c r="N109" s="32">
        <v>2089</v>
      </c>
      <c r="O109" s="32">
        <v>1330</v>
      </c>
      <c r="P109" s="32">
        <v>890</v>
      </c>
      <c r="Q109" s="32">
        <v>2058</v>
      </c>
      <c r="R109" s="32">
        <v>1037</v>
      </c>
      <c r="S109" s="32">
        <v>634</v>
      </c>
      <c r="T109" s="32">
        <v>1361</v>
      </c>
      <c r="U109" s="32">
        <v>784</v>
      </c>
      <c r="V109" s="32">
        <v>602</v>
      </c>
      <c r="W109" s="32">
        <v>1570</v>
      </c>
      <c r="X109" s="32" t="s">
        <v>207</v>
      </c>
      <c r="Y109" s="32" t="s">
        <v>207</v>
      </c>
      <c r="Z109" s="32" t="s">
        <v>207</v>
      </c>
    </row>
    <row r="110" spans="2:26" x14ac:dyDescent="0.3">
      <c r="B110" s="30" t="s">
        <v>788</v>
      </c>
      <c r="L110" s="32">
        <v>1565</v>
      </c>
      <c r="M110" s="32" t="s">
        <v>207</v>
      </c>
      <c r="N110" s="32" t="s">
        <v>207</v>
      </c>
      <c r="O110" s="32" t="s">
        <v>207</v>
      </c>
      <c r="P110" s="32" t="s">
        <v>207</v>
      </c>
      <c r="Q110" s="32" t="s">
        <v>207</v>
      </c>
      <c r="R110" s="32" t="s">
        <v>207</v>
      </c>
      <c r="S110" s="32" t="s">
        <v>207</v>
      </c>
      <c r="T110" s="32" t="s">
        <v>207</v>
      </c>
      <c r="U110" s="32" t="s">
        <v>207</v>
      </c>
      <c r="V110" s="32" t="s">
        <v>207</v>
      </c>
      <c r="W110" s="32" t="s">
        <v>207</v>
      </c>
      <c r="X110" s="32" t="s">
        <v>207</v>
      </c>
      <c r="Y110" s="32" t="s">
        <v>207</v>
      </c>
      <c r="Z110" s="32" t="s">
        <v>207</v>
      </c>
    </row>
    <row r="111" spans="2:26" x14ac:dyDescent="0.3">
      <c r="B111" s="30" t="s">
        <v>789</v>
      </c>
      <c r="L111" s="32">
        <v>679</v>
      </c>
      <c r="M111" s="32">
        <v>480</v>
      </c>
      <c r="N111" s="32">
        <v>617</v>
      </c>
      <c r="O111" s="32">
        <v>595</v>
      </c>
      <c r="P111" s="32">
        <v>617</v>
      </c>
      <c r="Q111" s="32">
        <v>640</v>
      </c>
      <c r="R111" s="32">
        <v>514</v>
      </c>
      <c r="S111" s="32">
        <v>818</v>
      </c>
      <c r="T111" s="32">
        <v>834</v>
      </c>
      <c r="U111" s="32">
        <v>808</v>
      </c>
      <c r="V111" s="32">
        <v>810</v>
      </c>
      <c r="W111" s="32">
        <v>1522</v>
      </c>
      <c r="X111" s="32" t="s">
        <v>207</v>
      </c>
      <c r="Y111" s="32" t="s">
        <v>207</v>
      </c>
      <c r="Z111" s="32" t="s">
        <v>207</v>
      </c>
    </row>
    <row r="112" spans="2:26" x14ac:dyDescent="0.3">
      <c r="B112" s="30" t="s">
        <v>790</v>
      </c>
      <c r="L112" s="32">
        <v>331</v>
      </c>
      <c r="M112" s="32">
        <v>481</v>
      </c>
      <c r="N112" s="32">
        <v>426</v>
      </c>
      <c r="O112" s="32">
        <v>594</v>
      </c>
      <c r="P112" s="32">
        <v>556</v>
      </c>
      <c r="Q112" s="32">
        <v>429</v>
      </c>
      <c r="R112" s="32">
        <v>770</v>
      </c>
      <c r="S112" s="32">
        <v>640</v>
      </c>
      <c r="T112" s="32">
        <v>454</v>
      </c>
      <c r="U112" s="32">
        <v>760</v>
      </c>
      <c r="V112" s="32">
        <v>685</v>
      </c>
      <c r="W112" s="32">
        <v>516</v>
      </c>
      <c r="X112" s="32" t="s">
        <v>207</v>
      </c>
      <c r="Y112" s="32" t="s">
        <v>207</v>
      </c>
      <c r="Z112" s="32" t="s">
        <v>207</v>
      </c>
    </row>
    <row r="113" spans="2:26" x14ac:dyDescent="0.3">
      <c r="B113" s="30" t="s">
        <v>791</v>
      </c>
      <c r="L113" s="32">
        <v>75</v>
      </c>
      <c r="M113" s="32">
        <v>75</v>
      </c>
      <c r="N113" s="32">
        <v>75</v>
      </c>
      <c r="O113" s="32">
        <v>75</v>
      </c>
      <c r="P113" s="32">
        <v>75</v>
      </c>
      <c r="Q113" s="32" t="s">
        <v>207</v>
      </c>
      <c r="R113" s="32">
        <v>962</v>
      </c>
      <c r="S113" s="32">
        <v>537</v>
      </c>
      <c r="T113" s="32">
        <v>37</v>
      </c>
      <c r="U113" s="32">
        <v>1871</v>
      </c>
      <c r="V113" s="32">
        <v>1871</v>
      </c>
      <c r="W113" s="32">
        <v>1941</v>
      </c>
      <c r="X113" s="32" t="s">
        <v>207</v>
      </c>
      <c r="Y113" s="32" t="s">
        <v>207</v>
      </c>
      <c r="Z113" s="32" t="s">
        <v>207</v>
      </c>
    </row>
    <row r="114" spans="2:26" x14ac:dyDescent="0.3">
      <c r="B114" s="30" t="s">
        <v>458</v>
      </c>
      <c r="L114" s="32" t="s">
        <v>207</v>
      </c>
      <c r="M114" s="32" t="s">
        <v>207</v>
      </c>
      <c r="N114" s="32" t="s">
        <v>207</v>
      </c>
      <c r="O114" s="32">
        <v>555</v>
      </c>
      <c r="P114" s="32">
        <v>363</v>
      </c>
      <c r="Q114" s="32" t="s">
        <v>207</v>
      </c>
      <c r="R114" s="32">
        <v>2046</v>
      </c>
      <c r="S114" s="32">
        <v>1577</v>
      </c>
      <c r="T114" s="32">
        <v>1862</v>
      </c>
      <c r="U114" s="32">
        <v>1036</v>
      </c>
      <c r="V114" s="32" t="s">
        <v>207</v>
      </c>
      <c r="W114" s="32" t="s">
        <v>207</v>
      </c>
      <c r="X114" s="32" t="s">
        <v>207</v>
      </c>
      <c r="Y114" s="32" t="s">
        <v>207</v>
      </c>
      <c r="Z114" s="32" t="s">
        <v>207</v>
      </c>
    </row>
    <row r="115" spans="2:26" x14ac:dyDescent="0.3">
      <c r="B115" s="30" t="s">
        <v>699</v>
      </c>
      <c r="L115" s="32">
        <v>1040</v>
      </c>
      <c r="M115" s="32">
        <v>1274</v>
      </c>
      <c r="N115" s="32">
        <v>1326</v>
      </c>
      <c r="O115" s="32">
        <v>1483</v>
      </c>
      <c r="P115" s="32">
        <v>1275</v>
      </c>
      <c r="Q115" s="32">
        <v>1643</v>
      </c>
      <c r="R115" s="32">
        <v>1458</v>
      </c>
      <c r="S115" s="32">
        <v>1662</v>
      </c>
      <c r="T115" s="32">
        <v>1488</v>
      </c>
      <c r="U115" s="32">
        <v>2564</v>
      </c>
      <c r="V115" s="32">
        <v>2278</v>
      </c>
      <c r="W115" s="32">
        <v>2546</v>
      </c>
      <c r="X115" s="32" t="s">
        <v>207</v>
      </c>
      <c r="Y115" s="32" t="s">
        <v>207</v>
      </c>
      <c r="Z115" s="32" t="s">
        <v>207</v>
      </c>
    </row>
    <row r="116" spans="2:26" x14ac:dyDescent="0.3">
      <c r="B116" s="30" t="s">
        <v>792</v>
      </c>
      <c r="L116" s="32">
        <v>10286</v>
      </c>
      <c r="M116" s="32">
        <v>8671</v>
      </c>
      <c r="N116" s="32">
        <v>13759</v>
      </c>
      <c r="O116" s="32">
        <v>9117</v>
      </c>
      <c r="P116" s="32">
        <v>9911</v>
      </c>
      <c r="Q116" s="32">
        <v>11940</v>
      </c>
      <c r="R116" s="32">
        <v>10443</v>
      </c>
      <c r="S116" s="32">
        <v>11714</v>
      </c>
      <c r="T116" s="32">
        <v>11584</v>
      </c>
      <c r="U116" s="32">
        <v>10835</v>
      </c>
      <c r="V116" s="32">
        <v>10402</v>
      </c>
      <c r="W116" s="32">
        <v>12193</v>
      </c>
      <c r="X116" s="32">
        <v>10710</v>
      </c>
      <c r="Y116" s="32">
        <v>8301</v>
      </c>
      <c r="Z116" s="32">
        <v>9795</v>
      </c>
    </row>
    <row r="117" spans="2:26" x14ac:dyDescent="0.3">
      <c r="B117" s="30" t="s">
        <v>793</v>
      </c>
      <c r="L117" s="32" t="s">
        <v>207</v>
      </c>
      <c r="M117" s="32" t="s">
        <v>207</v>
      </c>
      <c r="N117" s="32" t="s">
        <v>207</v>
      </c>
      <c r="O117" s="32" t="s">
        <v>207</v>
      </c>
      <c r="P117" s="32" t="s">
        <v>207</v>
      </c>
      <c r="Q117" s="32" t="s">
        <v>207</v>
      </c>
      <c r="R117" s="32" t="s">
        <v>207</v>
      </c>
      <c r="S117" s="32" t="s">
        <v>207</v>
      </c>
      <c r="T117" s="32" t="s">
        <v>207</v>
      </c>
      <c r="U117" s="32" t="s">
        <v>207</v>
      </c>
      <c r="V117" s="32" t="s">
        <v>207</v>
      </c>
      <c r="W117" s="32" t="s">
        <v>207</v>
      </c>
      <c r="X117" s="32" t="s">
        <v>207</v>
      </c>
      <c r="Y117" s="32">
        <v>1254</v>
      </c>
      <c r="Z117" s="32">
        <v>1651</v>
      </c>
    </row>
    <row r="118" spans="2:26" x14ac:dyDescent="0.3">
      <c r="B118" s="30" t="s">
        <v>794</v>
      </c>
      <c r="L118" s="32">
        <v>17249</v>
      </c>
      <c r="M118" s="32">
        <v>14771</v>
      </c>
      <c r="N118" s="32">
        <v>14898</v>
      </c>
      <c r="O118" s="32">
        <v>16374</v>
      </c>
      <c r="P118" s="32">
        <v>10447</v>
      </c>
      <c r="Q118" s="32">
        <v>14898</v>
      </c>
      <c r="R118" s="32">
        <v>12285</v>
      </c>
      <c r="S118" s="32">
        <v>12328</v>
      </c>
      <c r="T118" s="32">
        <v>14048</v>
      </c>
      <c r="U118" s="32">
        <v>16237</v>
      </c>
      <c r="V118" s="32">
        <v>12197</v>
      </c>
      <c r="W118" s="32">
        <v>9957</v>
      </c>
      <c r="X118" s="32">
        <v>13992</v>
      </c>
      <c r="Y118" s="32">
        <v>8755</v>
      </c>
      <c r="Z118" s="32">
        <v>9195</v>
      </c>
    </row>
    <row r="119" spans="2:26" x14ac:dyDescent="0.3">
      <c r="B119" s="30" t="s">
        <v>795</v>
      </c>
      <c r="L119" s="32">
        <v>1586</v>
      </c>
      <c r="M119" s="32">
        <v>1552</v>
      </c>
      <c r="N119" s="32">
        <v>1521</v>
      </c>
      <c r="O119" s="32" t="s">
        <v>207</v>
      </c>
      <c r="P119" s="32" t="s">
        <v>207</v>
      </c>
      <c r="Q119" s="32" t="s">
        <v>207</v>
      </c>
      <c r="R119" s="32" t="s">
        <v>207</v>
      </c>
      <c r="S119" s="32" t="s">
        <v>207</v>
      </c>
      <c r="T119" s="32" t="s">
        <v>207</v>
      </c>
      <c r="U119" s="32" t="s">
        <v>207</v>
      </c>
      <c r="V119" s="32" t="s">
        <v>207</v>
      </c>
      <c r="W119" s="32" t="s">
        <v>207</v>
      </c>
      <c r="X119" s="32" t="s">
        <v>207</v>
      </c>
      <c r="Y119" s="32" t="s">
        <v>207</v>
      </c>
      <c r="Z119" s="32" t="s">
        <v>207</v>
      </c>
    </row>
    <row r="120" spans="2:26" x14ac:dyDescent="0.3">
      <c r="B120" s="30" t="s">
        <v>441</v>
      </c>
      <c r="L120" s="32">
        <v>33076</v>
      </c>
      <c r="M120" s="32">
        <v>27799</v>
      </c>
      <c r="N120" s="32">
        <v>33380</v>
      </c>
      <c r="O120" s="32">
        <v>28035</v>
      </c>
      <c r="P120" s="32">
        <v>23990</v>
      </c>
      <c r="Q120" s="32">
        <v>29195</v>
      </c>
      <c r="R120" s="32">
        <v>25317</v>
      </c>
      <c r="S120" s="32">
        <v>25593</v>
      </c>
      <c r="T120" s="32">
        <v>28233</v>
      </c>
      <c r="U120" s="32">
        <v>28897</v>
      </c>
      <c r="V120" s="32">
        <v>24793</v>
      </c>
      <c r="W120" s="32">
        <v>24192</v>
      </c>
      <c r="X120" s="32">
        <v>26611</v>
      </c>
      <c r="Y120" s="32">
        <v>20419</v>
      </c>
      <c r="Z120" s="32">
        <v>22282</v>
      </c>
    </row>
    <row r="121" spans="2:26" x14ac:dyDescent="0.3">
      <c r="B121" s="30" t="s">
        <v>796</v>
      </c>
      <c r="L121" s="32">
        <v>20141</v>
      </c>
      <c r="M121" s="32">
        <v>20503</v>
      </c>
      <c r="N121" s="32">
        <v>21508</v>
      </c>
      <c r="O121" s="32">
        <v>22076</v>
      </c>
      <c r="P121" s="32">
        <v>21970</v>
      </c>
      <c r="Q121" s="32">
        <v>21473</v>
      </c>
      <c r="R121" s="32">
        <v>15882</v>
      </c>
      <c r="S121" s="32">
        <v>15882</v>
      </c>
      <c r="T121" s="32">
        <v>15844</v>
      </c>
      <c r="U121" s="32">
        <v>25470</v>
      </c>
      <c r="V121" s="32">
        <v>25470</v>
      </c>
      <c r="W121" s="32">
        <v>25470</v>
      </c>
      <c r="X121" s="32">
        <v>29295</v>
      </c>
      <c r="Y121" s="32">
        <v>28897</v>
      </c>
      <c r="Z121" s="32">
        <v>28758</v>
      </c>
    </row>
    <row r="122" spans="2:26" x14ac:dyDescent="0.3">
      <c r="B122" s="30" t="s">
        <v>628</v>
      </c>
      <c r="L122" s="32" t="s">
        <v>207</v>
      </c>
      <c r="M122" s="32" t="s">
        <v>207</v>
      </c>
      <c r="N122" s="32" t="s">
        <v>207</v>
      </c>
      <c r="O122" s="32" t="s">
        <v>207</v>
      </c>
      <c r="P122" s="32" t="s">
        <v>207</v>
      </c>
      <c r="Q122" s="32" t="s">
        <v>207</v>
      </c>
      <c r="R122" s="32">
        <v>128103</v>
      </c>
      <c r="S122" s="32">
        <v>123836</v>
      </c>
      <c r="T122" s="32">
        <v>127677</v>
      </c>
      <c r="U122" s="32" t="s">
        <v>207</v>
      </c>
      <c r="V122" s="32" t="s">
        <v>207</v>
      </c>
      <c r="W122" s="32" t="s">
        <v>207</v>
      </c>
      <c r="X122" s="32" t="s">
        <v>207</v>
      </c>
      <c r="Y122" s="32" t="s">
        <v>207</v>
      </c>
      <c r="Z122" s="32" t="s">
        <v>207</v>
      </c>
    </row>
    <row r="123" spans="2:26" x14ac:dyDescent="0.3">
      <c r="B123" s="30" t="s">
        <v>797</v>
      </c>
      <c r="L123" s="32" t="s">
        <v>207</v>
      </c>
      <c r="M123" s="32" t="s">
        <v>207</v>
      </c>
      <c r="N123" s="32" t="s">
        <v>207</v>
      </c>
      <c r="O123" s="32" t="s">
        <v>207</v>
      </c>
      <c r="P123" s="32" t="s">
        <v>207</v>
      </c>
      <c r="Q123" s="32" t="s">
        <v>207</v>
      </c>
      <c r="R123" s="32">
        <v>4852</v>
      </c>
      <c r="S123" s="32">
        <v>5111</v>
      </c>
      <c r="T123" s="32" t="s">
        <v>207</v>
      </c>
      <c r="U123" s="32" t="s">
        <v>207</v>
      </c>
      <c r="V123" s="32" t="s">
        <v>207</v>
      </c>
      <c r="W123" s="32" t="s">
        <v>207</v>
      </c>
      <c r="X123" s="32" t="s">
        <v>207</v>
      </c>
      <c r="Y123" s="32" t="s">
        <v>207</v>
      </c>
      <c r="Z123" s="32" t="s">
        <v>207</v>
      </c>
    </row>
    <row r="124" spans="2:26" x14ac:dyDescent="0.3">
      <c r="B124" s="30" t="s">
        <v>554</v>
      </c>
      <c r="L124" s="32" t="s">
        <v>207</v>
      </c>
      <c r="M124" s="32" t="s">
        <v>207</v>
      </c>
      <c r="N124" s="32" t="s">
        <v>207</v>
      </c>
      <c r="O124" s="32" t="s">
        <v>207</v>
      </c>
      <c r="P124" s="32" t="s">
        <v>207</v>
      </c>
      <c r="Q124" s="32" t="s">
        <v>207</v>
      </c>
      <c r="R124" s="32">
        <v>132955</v>
      </c>
      <c r="S124" s="32">
        <v>128947</v>
      </c>
      <c r="T124" s="32">
        <v>127677</v>
      </c>
      <c r="U124" s="32" t="s">
        <v>207</v>
      </c>
      <c r="V124" s="32" t="s">
        <v>207</v>
      </c>
      <c r="W124" s="32" t="s">
        <v>207</v>
      </c>
      <c r="X124" s="32" t="s">
        <v>207</v>
      </c>
      <c r="Y124" s="32" t="s">
        <v>207</v>
      </c>
      <c r="Z124" s="32" t="s">
        <v>207</v>
      </c>
    </row>
    <row r="125" spans="2:26" x14ac:dyDescent="0.3">
      <c r="B125" s="30" t="s">
        <v>556</v>
      </c>
      <c r="L125" s="32" t="s">
        <v>207</v>
      </c>
      <c r="M125" s="32" t="s">
        <v>207</v>
      </c>
      <c r="N125" s="32" t="s">
        <v>207</v>
      </c>
      <c r="O125" s="32" t="s">
        <v>207</v>
      </c>
      <c r="P125" s="32" t="s">
        <v>207</v>
      </c>
      <c r="Q125" s="32" t="s">
        <v>207</v>
      </c>
      <c r="R125" s="32">
        <v>-1700</v>
      </c>
      <c r="S125" s="32">
        <v>-1734</v>
      </c>
      <c r="T125" s="32">
        <v>-1685</v>
      </c>
      <c r="U125" s="32" t="s">
        <v>207</v>
      </c>
      <c r="V125" s="32" t="s">
        <v>207</v>
      </c>
      <c r="W125" s="32" t="s">
        <v>207</v>
      </c>
      <c r="X125" s="32" t="s">
        <v>207</v>
      </c>
      <c r="Y125" s="32" t="s">
        <v>207</v>
      </c>
      <c r="Z125" s="32" t="s">
        <v>207</v>
      </c>
    </row>
    <row r="126" spans="2:26" x14ac:dyDescent="0.3">
      <c r="B126" s="30" t="s">
        <v>798</v>
      </c>
      <c r="L126" s="32" t="s">
        <v>207</v>
      </c>
      <c r="M126" s="32" t="s">
        <v>207</v>
      </c>
      <c r="N126" s="32" t="s">
        <v>207</v>
      </c>
      <c r="O126" s="32" t="s">
        <v>207</v>
      </c>
      <c r="P126" s="32" t="s">
        <v>207</v>
      </c>
      <c r="Q126" s="32" t="s">
        <v>207</v>
      </c>
      <c r="R126" s="32">
        <v>12285</v>
      </c>
      <c r="S126" s="32">
        <v>12328</v>
      </c>
      <c r="T126" s="32">
        <v>14048</v>
      </c>
      <c r="U126" s="32" t="s">
        <v>207</v>
      </c>
      <c r="V126" s="32" t="s">
        <v>207</v>
      </c>
      <c r="W126" s="32" t="s">
        <v>207</v>
      </c>
      <c r="X126" s="32" t="s">
        <v>207</v>
      </c>
      <c r="Y126" s="32" t="s">
        <v>207</v>
      </c>
      <c r="Z126" s="32" t="s">
        <v>207</v>
      </c>
    </row>
    <row r="127" spans="2:26" x14ac:dyDescent="0.3">
      <c r="B127" s="30" t="s">
        <v>799</v>
      </c>
      <c r="L127" s="32">
        <v>125487</v>
      </c>
      <c r="M127" s="32">
        <v>125669</v>
      </c>
      <c r="N127" s="32">
        <v>126928</v>
      </c>
      <c r="O127" s="32">
        <v>130205</v>
      </c>
      <c r="P127" s="32">
        <v>139371</v>
      </c>
      <c r="Q127" s="32">
        <v>138197</v>
      </c>
      <c r="R127" s="32">
        <v>118970</v>
      </c>
      <c r="S127" s="32">
        <v>114885</v>
      </c>
      <c r="T127" s="32">
        <v>111944</v>
      </c>
      <c r="U127" s="32">
        <v>109031</v>
      </c>
      <c r="V127" s="32">
        <v>90103</v>
      </c>
      <c r="W127" s="32">
        <v>95663</v>
      </c>
      <c r="X127" s="32">
        <v>86957</v>
      </c>
      <c r="Y127" s="32">
        <v>92958</v>
      </c>
      <c r="Z127" s="32">
        <v>85161</v>
      </c>
    </row>
    <row r="128" spans="2:26" x14ac:dyDescent="0.3">
      <c r="B128" s="30" t="s">
        <v>800</v>
      </c>
      <c r="L128" s="32">
        <v>25863</v>
      </c>
      <c r="M128" s="32">
        <v>26275</v>
      </c>
      <c r="N128" s="32">
        <v>26745</v>
      </c>
      <c r="O128" s="32" t="s">
        <v>207</v>
      </c>
      <c r="P128" s="32" t="s">
        <v>207</v>
      </c>
      <c r="Q128" s="32" t="s">
        <v>207</v>
      </c>
      <c r="R128" s="32" t="s">
        <v>207</v>
      </c>
      <c r="S128" s="32" t="s">
        <v>207</v>
      </c>
      <c r="T128" s="32" t="s">
        <v>207</v>
      </c>
      <c r="U128" s="32" t="s">
        <v>207</v>
      </c>
      <c r="V128" s="32" t="s">
        <v>207</v>
      </c>
      <c r="W128" s="32" t="s">
        <v>207</v>
      </c>
      <c r="X128" s="32" t="s">
        <v>207</v>
      </c>
      <c r="Y128" s="32" t="s">
        <v>207</v>
      </c>
      <c r="Z128" s="32" t="s">
        <v>207</v>
      </c>
    </row>
    <row r="129" spans="2:26" x14ac:dyDescent="0.3">
      <c r="B129" s="30" t="s">
        <v>562</v>
      </c>
      <c r="L129" s="32">
        <v>372</v>
      </c>
      <c r="M129" s="32">
        <v>374</v>
      </c>
      <c r="N129" s="32">
        <v>407</v>
      </c>
      <c r="O129" s="32">
        <v>1656</v>
      </c>
      <c r="P129" s="32">
        <v>1606</v>
      </c>
      <c r="Q129" s="32">
        <v>1567</v>
      </c>
      <c r="R129" s="32">
        <v>1451</v>
      </c>
      <c r="S129" s="32">
        <v>1395</v>
      </c>
      <c r="T129" s="32">
        <v>1324</v>
      </c>
      <c r="U129" s="32">
        <v>665</v>
      </c>
      <c r="V129" s="32">
        <v>593</v>
      </c>
      <c r="W129" s="32">
        <v>523</v>
      </c>
      <c r="X129" s="32">
        <v>2298</v>
      </c>
      <c r="Y129" s="32">
        <v>2279</v>
      </c>
      <c r="Z129" s="32">
        <v>2705</v>
      </c>
    </row>
    <row r="130" spans="2:26" x14ac:dyDescent="0.3">
      <c r="B130" s="30" t="s">
        <v>259</v>
      </c>
      <c r="L130" s="32">
        <v>204939</v>
      </c>
      <c r="M130" s="32">
        <v>200620</v>
      </c>
      <c r="N130" s="32">
        <v>208968</v>
      </c>
      <c r="O130" s="32">
        <v>181972</v>
      </c>
      <c r="P130" s="32">
        <v>186937</v>
      </c>
      <c r="Q130" s="32">
        <v>190432</v>
      </c>
      <c r="R130" s="32">
        <v>161620</v>
      </c>
      <c r="S130" s="32">
        <v>157755</v>
      </c>
      <c r="T130" s="32">
        <v>157345</v>
      </c>
      <c r="U130" s="32">
        <v>164063</v>
      </c>
      <c r="V130" s="32">
        <v>140959</v>
      </c>
      <c r="W130" s="32">
        <v>145848</v>
      </c>
      <c r="X130" s="32">
        <v>145161</v>
      </c>
      <c r="Y130" s="32">
        <v>144553</v>
      </c>
      <c r="Z130" s="32">
        <v>138906</v>
      </c>
    </row>
    <row r="131" spans="2:26" x14ac:dyDescent="0.3">
      <c r="B131" s="30" t="s">
        <v>364</v>
      </c>
      <c r="L131" s="32">
        <v>91</v>
      </c>
      <c r="M131" s="32">
        <v>91</v>
      </c>
      <c r="N131" s="32">
        <v>93</v>
      </c>
      <c r="O131" s="32">
        <v>96</v>
      </c>
      <c r="P131" s="32">
        <v>96</v>
      </c>
      <c r="Q131" s="32">
        <v>97</v>
      </c>
      <c r="R131" s="32">
        <v>97</v>
      </c>
      <c r="S131" s="32">
        <v>97</v>
      </c>
      <c r="T131" s="32">
        <v>97</v>
      </c>
      <c r="U131" s="32">
        <v>97</v>
      </c>
      <c r="V131" s="32">
        <v>97</v>
      </c>
      <c r="W131" s="32">
        <v>97</v>
      </c>
      <c r="X131" s="32">
        <v>98</v>
      </c>
      <c r="Y131" s="32">
        <v>99</v>
      </c>
      <c r="Z131" s="32">
        <v>100</v>
      </c>
    </row>
    <row r="132" spans="2:26" x14ac:dyDescent="0.3">
      <c r="B132" s="30" t="s">
        <v>262</v>
      </c>
      <c r="L132" s="32">
        <v>52829</v>
      </c>
      <c r="M132" s="32">
        <v>52829</v>
      </c>
      <c r="N132" s="32">
        <v>54874</v>
      </c>
      <c r="O132" s="32">
        <v>61849</v>
      </c>
      <c r="P132" s="32">
        <v>62252</v>
      </c>
      <c r="Q132" s="32">
        <v>63857</v>
      </c>
      <c r="R132" s="32">
        <v>63453</v>
      </c>
      <c r="S132" s="32">
        <v>63453</v>
      </c>
      <c r="T132" s="32">
        <v>63453</v>
      </c>
      <c r="U132" s="32">
        <v>63453</v>
      </c>
      <c r="V132" s="32">
        <v>63453</v>
      </c>
      <c r="W132" s="32">
        <v>63451</v>
      </c>
      <c r="X132" s="32">
        <v>65326</v>
      </c>
      <c r="Y132" s="32">
        <v>66019</v>
      </c>
      <c r="Z132" s="32">
        <v>67058</v>
      </c>
    </row>
    <row r="133" spans="2:26" x14ac:dyDescent="0.3">
      <c r="B133" s="30" t="s">
        <v>366</v>
      </c>
      <c r="L133" s="32" t="s">
        <v>207</v>
      </c>
      <c r="M133" s="32" t="s">
        <v>207</v>
      </c>
      <c r="N133" s="32" t="s">
        <v>207</v>
      </c>
      <c r="O133" s="32" t="s">
        <v>207</v>
      </c>
      <c r="P133" s="32" t="s">
        <v>207</v>
      </c>
      <c r="Q133" s="32" t="s">
        <v>207</v>
      </c>
      <c r="R133" s="32" t="s">
        <v>207</v>
      </c>
      <c r="S133" s="32" t="s">
        <v>207</v>
      </c>
      <c r="T133" s="32" t="s">
        <v>207</v>
      </c>
      <c r="U133" s="32" t="s">
        <v>207</v>
      </c>
      <c r="V133" s="32" t="s">
        <v>207</v>
      </c>
      <c r="W133" s="32" t="s">
        <v>207</v>
      </c>
      <c r="X133" s="32" t="s">
        <v>207</v>
      </c>
      <c r="Y133" s="32" t="s">
        <v>207</v>
      </c>
      <c r="Z133" s="32">
        <v>116</v>
      </c>
    </row>
    <row r="134" spans="2:26" x14ac:dyDescent="0.3">
      <c r="B134" s="30" t="s">
        <v>263</v>
      </c>
      <c r="L134" s="32">
        <v>102837</v>
      </c>
      <c r="M134" s="32">
        <v>108584</v>
      </c>
      <c r="N134" s="32">
        <v>112404</v>
      </c>
      <c r="O134" s="32">
        <v>106976</v>
      </c>
      <c r="P134" s="32">
        <v>101623</v>
      </c>
      <c r="Q134" s="32">
        <v>95179</v>
      </c>
      <c r="R134" s="32">
        <v>92704</v>
      </c>
      <c r="S134" s="32">
        <v>87608</v>
      </c>
      <c r="T134" s="32">
        <v>83214</v>
      </c>
      <c r="U134" s="32">
        <v>72530</v>
      </c>
      <c r="V134" s="32">
        <v>68982</v>
      </c>
      <c r="W134" s="32">
        <v>65517</v>
      </c>
      <c r="X134" s="32">
        <v>62799</v>
      </c>
      <c r="Y134" s="32">
        <v>60443</v>
      </c>
      <c r="Z134" s="32">
        <v>55234</v>
      </c>
    </row>
    <row r="135" spans="2:26" x14ac:dyDescent="0.3">
      <c r="B135" s="30" t="s">
        <v>801</v>
      </c>
      <c r="L135" s="32">
        <v>155757</v>
      </c>
      <c r="M135" s="32">
        <v>161504</v>
      </c>
      <c r="N135" s="32">
        <v>167371</v>
      </c>
      <c r="O135" s="32">
        <v>168921</v>
      </c>
      <c r="P135" s="32">
        <v>163971</v>
      </c>
      <c r="Q135" s="32">
        <v>159133</v>
      </c>
      <c r="R135" s="32">
        <v>156254</v>
      </c>
      <c r="S135" s="32">
        <v>151158</v>
      </c>
      <c r="T135" s="32">
        <v>146764</v>
      </c>
      <c r="U135" s="32">
        <v>136080</v>
      </c>
      <c r="V135" s="32">
        <v>132532</v>
      </c>
      <c r="W135" s="32">
        <v>129065</v>
      </c>
      <c r="X135" s="32">
        <v>128223</v>
      </c>
      <c r="Y135" s="32">
        <v>126561</v>
      </c>
      <c r="Z135" s="32">
        <v>122508</v>
      </c>
    </row>
    <row r="136" spans="2:26" x14ac:dyDescent="0.3">
      <c r="B136" s="30" t="s">
        <v>802</v>
      </c>
      <c r="L136" s="32">
        <v>-322</v>
      </c>
      <c r="M136" s="32">
        <v>-228</v>
      </c>
      <c r="N136" s="32">
        <v>-166</v>
      </c>
      <c r="O136" s="32">
        <v>-15</v>
      </c>
      <c r="P136" s="32">
        <v>-35</v>
      </c>
      <c r="Q136" s="32">
        <v>-43</v>
      </c>
      <c r="R136" s="32">
        <v>2389</v>
      </c>
      <c r="S136" s="32">
        <v>2425</v>
      </c>
      <c r="T136" s="32">
        <v>2470</v>
      </c>
      <c r="U136" s="32">
        <v>2523</v>
      </c>
      <c r="V136" s="32">
        <v>2568</v>
      </c>
      <c r="W136" s="32">
        <v>2537</v>
      </c>
      <c r="X136" s="32">
        <v>5247</v>
      </c>
      <c r="Y136" s="32">
        <v>5356</v>
      </c>
      <c r="Z136" s="32">
        <v>5695</v>
      </c>
    </row>
    <row r="137" spans="2:26" x14ac:dyDescent="0.3">
      <c r="B137" s="30" t="s">
        <v>803</v>
      </c>
      <c r="L137" s="32">
        <v>155435</v>
      </c>
      <c r="M137" s="32" t="s">
        <v>207</v>
      </c>
      <c r="N137" s="32">
        <v>167205</v>
      </c>
      <c r="O137" s="32">
        <v>168906</v>
      </c>
      <c r="P137" s="32">
        <v>163936</v>
      </c>
      <c r="Q137" s="32">
        <v>159090</v>
      </c>
      <c r="R137" s="32">
        <v>158643</v>
      </c>
      <c r="S137" s="32">
        <v>153583</v>
      </c>
      <c r="T137" s="32">
        <v>149234</v>
      </c>
      <c r="U137" s="32">
        <v>138603</v>
      </c>
      <c r="V137" s="32">
        <v>135100</v>
      </c>
      <c r="W137" s="32">
        <v>131602</v>
      </c>
      <c r="X137" s="32">
        <v>133470</v>
      </c>
      <c r="Y137" s="32">
        <v>131917</v>
      </c>
      <c r="Z137" s="32">
        <v>128203</v>
      </c>
    </row>
    <row r="139" spans="2:26" s="72" customFormat="1" x14ac:dyDescent="0.3">
      <c r="B139" s="54" t="str">
        <f>GCO!B123</f>
        <v>Statement of Cash Flows</v>
      </c>
      <c r="C139" s="3"/>
      <c r="D139" s="55"/>
      <c r="E139" s="55"/>
      <c r="F139" s="55"/>
      <c r="G139" s="55"/>
      <c r="H139" s="55"/>
      <c r="I139" s="55"/>
      <c r="J139" s="55"/>
      <c r="K139" s="3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spans="2:26" x14ac:dyDescent="0.3">
      <c r="B140" s="30" t="s">
        <v>214</v>
      </c>
      <c r="L140" s="32">
        <v>-3427</v>
      </c>
      <c r="M140" s="32">
        <v>2141</v>
      </c>
      <c r="N140" s="32">
        <v>5634</v>
      </c>
      <c r="O140" s="32">
        <v>18826</v>
      </c>
      <c r="P140" s="32">
        <v>13147</v>
      </c>
      <c r="Q140" s="32">
        <v>6404</v>
      </c>
      <c r="R140" s="32">
        <v>24456</v>
      </c>
      <c r="S140" s="32">
        <v>19049</v>
      </c>
      <c r="T140" s="32">
        <v>14355</v>
      </c>
      <c r="U140" s="32">
        <v>10511</v>
      </c>
      <c r="V140" s="32">
        <v>6661</v>
      </c>
      <c r="W140" s="32">
        <v>2905</v>
      </c>
      <c r="X140" s="32">
        <v>10364</v>
      </c>
      <c r="Y140" s="32">
        <v>7732</v>
      </c>
      <c r="Z140" s="32">
        <v>2439</v>
      </c>
    </row>
    <row r="141" spans="2:26" x14ac:dyDescent="0.3">
      <c r="B141" s="30" t="s">
        <v>566</v>
      </c>
      <c r="L141" s="32">
        <v>6696</v>
      </c>
      <c r="M141" s="32">
        <v>4461</v>
      </c>
      <c r="N141" s="32">
        <v>2204</v>
      </c>
      <c r="O141" s="32">
        <v>6718</v>
      </c>
      <c r="P141" s="32">
        <v>4253</v>
      </c>
      <c r="Q141" s="32">
        <v>2053</v>
      </c>
      <c r="R141" s="32">
        <v>5806</v>
      </c>
      <c r="S141" s="32">
        <v>3808</v>
      </c>
      <c r="T141" s="32">
        <v>1909</v>
      </c>
      <c r="U141" s="32">
        <v>4936</v>
      </c>
      <c r="V141" s="32">
        <v>3226</v>
      </c>
      <c r="W141" s="32">
        <v>1618</v>
      </c>
      <c r="X141" s="32">
        <v>5468</v>
      </c>
      <c r="Y141" s="32">
        <v>3643</v>
      </c>
      <c r="Z141" s="32">
        <v>1817</v>
      </c>
    </row>
    <row r="142" spans="2:26" x14ac:dyDescent="0.3">
      <c r="B142" s="30" t="s">
        <v>278</v>
      </c>
      <c r="L142" s="32">
        <v>-1517</v>
      </c>
      <c r="M142" s="32">
        <v>-1155</v>
      </c>
      <c r="N142" s="32">
        <v>-150</v>
      </c>
      <c r="O142" s="32">
        <v>1237</v>
      </c>
      <c r="P142" s="32">
        <v>1131</v>
      </c>
      <c r="Q142" s="32">
        <v>458</v>
      </c>
      <c r="R142" s="32">
        <v>-9659</v>
      </c>
      <c r="S142" s="32">
        <v>-9659</v>
      </c>
      <c r="T142" s="32">
        <v>-9697</v>
      </c>
      <c r="U142" s="32" t="s">
        <v>207</v>
      </c>
      <c r="V142" s="32" t="s">
        <v>207</v>
      </c>
      <c r="W142" s="32" t="s">
        <v>207</v>
      </c>
      <c r="X142" s="32">
        <v>1174</v>
      </c>
      <c r="Y142" s="32">
        <v>786</v>
      </c>
      <c r="Z142" s="32">
        <v>676</v>
      </c>
    </row>
    <row r="143" spans="2:26" x14ac:dyDescent="0.3">
      <c r="B143" s="30" t="s">
        <v>804</v>
      </c>
      <c r="L143" s="32" t="s">
        <v>207</v>
      </c>
      <c r="M143" s="32" t="s">
        <v>207</v>
      </c>
      <c r="N143" s="32" t="s">
        <v>207</v>
      </c>
      <c r="O143" s="32" t="s">
        <v>207</v>
      </c>
      <c r="P143" s="32" t="s">
        <v>207</v>
      </c>
      <c r="Q143" s="32" t="s">
        <v>207</v>
      </c>
      <c r="R143" s="32">
        <v>70</v>
      </c>
      <c r="S143" s="32" t="s">
        <v>207</v>
      </c>
      <c r="T143" s="32" t="s">
        <v>207</v>
      </c>
      <c r="U143" s="32" t="s">
        <v>207</v>
      </c>
      <c r="V143" s="32" t="s">
        <v>207</v>
      </c>
      <c r="W143" s="32" t="s">
        <v>207</v>
      </c>
      <c r="X143" s="32" t="s">
        <v>207</v>
      </c>
      <c r="Y143" s="32" t="s">
        <v>207</v>
      </c>
      <c r="Z143" s="32" t="s">
        <v>207</v>
      </c>
    </row>
    <row r="144" spans="2:26" x14ac:dyDescent="0.3">
      <c r="B144" s="30" t="s">
        <v>805</v>
      </c>
      <c r="L144" s="32">
        <v>-749</v>
      </c>
      <c r="M144" s="32">
        <v>-36</v>
      </c>
      <c r="N144" s="32">
        <v>-30</v>
      </c>
      <c r="O144" s="32">
        <v>-2704</v>
      </c>
      <c r="P144" s="32">
        <v>-2197</v>
      </c>
      <c r="Q144" s="32">
        <v>-1176</v>
      </c>
      <c r="R144" s="32" t="s">
        <v>207</v>
      </c>
      <c r="S144" s="32">
        <v>140</v>
      </c>
      <c r="T144" s="32">
        <v>140</v>
      </c>
      <c r="U144" s="32" t="s">
        <v>207</v>
      </c>
      <c r="V144" s="32">
        <v>212</v>
      </c>
      <c r="W144" s="32" t="s">
        <v>207</v>
      </c>
      <c r="X144" s="32" t="s">
        <v>207</v>
      </c>
      <c r="Y144" s="32" t="s">
        <v>207</v>
      </c>
      <c r="Z144" s="32" t="s">
        <v>207</v>
      </c>
    </row>
    <row r="145" spans="2:26" x14ac:dyDescent="0.3">
      <c r="B145" s="30" t="s">
        <v>377</v>
      </c>
      <c r="L145" s="32">
        <v>9192</v>
      </c>
      <c r="M145" s="32">
        <v>8210</v>
      </c>
      <c r="N145" s="32" t="s">
        <v>207</v>
      </c>
      <c r="O145" s="32" t="s">
        <v>207</v>
      </c>
      <c r="P145" s="32" t="s">
        <v>207</v>
      </c>
      <c r="Q145" s="32" t="s">
        <v>207</v>
      </c>
      <c r="R145" s="32">
        <v>1550</v>
      </c>
      <c r="S145" s="32">
        <v>1550</v>
      </c>
      <c r="T145" s="32" t="s">
        <v>207</v>
      </c>
      <c r="U145" s="32">
        <v>1411</v>
      </c>
      <c r="V145" s="32" t="s">
        <v>207</v>
      </c>
      <c r="W145" s="32" t="s">
        <v>207</v>
      </c>
      <c r="X145" s="32" t="s">
        <v>207</v>
      </c>
      <c r="Y145" s="32" t="s">
        <v>207</v>
      </c>
      <c r="Z145" s="32" t="s">
        <v>207</v>
      </c>
    </row>
    <row r="146" spans="2:26" x14ac:dyDescent="0.3">
      <c r="B146" s="30" t="s">
        <v>806</v>
      </c>
      <c r="L146" s="32">
        <v>103</v>
      </c>
      <c r="M146" s="32">
        <v>134</v>
      </c>
      <c r="N146" s="32">
        <v>72</v>
      </c>
      <c r="O146" s="32">
        <v>408</v>
      </c>
      <c r="P146" s="32">
        <v>370</v>
      </c>
      <c r="Q146" s="32">
        <v>447</v>
      </c>
      <c r="R146" s="32" t="s">
        <v>207</v>
      </c>
      <c r="S146" s="32" t="s">
        <v>207</v>
      </c>
      <c r="T146" s="32" t="s">
        <v>207</v>
      </c>
      <c r="U146" s="32" t="s">
        <v>207</v>
      </c>
      <c r="V146" s="32" t="s">
        <v>207</v>
      </c>
      <c r="W146" s="32" t="s">
        <v>207</v>
      </c>
      <c r="X146" s="32" t="s">
        <v>207</v>
      </c>
      <c r="Y146" s="32" t="s">
        <v>207</v>
      </c>
      <c r="Z146" s="32" t="s">
        <v>207</v>
      </c>
    </row>
    <row r="147" spans="2:26" x14ac:dyDescent="0.3">
      <c r="B147" s="30" t="s">
        <v>807</v>
      </c>
      <c r="L147" s="32">
        <v>194</v>
      </c>
      <c r="M147" s="32">
        <v>129</v>
      </c>
      <c r="N147" s="32">
        <v>61</v>
      </c>
      <c r="O147" s="32">
        <v>276</v>
      </c>
      <c r="P147" s="32">
        <v>202</v>
      </c>
      <c r="Q147" s="32">
        <v>95</v>
      </c>
      <c r="R147" s="32">
        <v>469</v>
      </c>
      <c r="S147" s="32">
        <v>384</v>
      </c>
      <c r="T147" s="32">
        <v>324</v>
      </c>
      <c r="U147" s="32">
        <v>178</v>
      </c>
      <c r="V147" s="32">
        <v>128</v>
      </c>
      <c r="W147" s="32">
        <v>85</v>
      </c>
      <c r="X147" s="32" t="s">
        <v>207</v>
      </c>
      <c r="Y147" s="32" t="s">
        <v>207</v>
      </c>
      <c r="Z147" s="32" t="s">
        <v>207</v>
      </c>
    </row>
    <row r="148" spans="2:26" x14ac:dyDescent="0.3">
      <c r="B148" s="30" t="s">
        <v>357</v>
      </c>
      <c r="L148" s="32" t="s">
        <v>207</v>
      </c>
      <c r="M148" s="32" t="s">
        <v>207</v>
      </c>
      <c r="N148" s="32" t="s">
        <v>207</v>
      </c>
      <c r="O148" s="32">
        <v>236</v>
      </c>
      <c r="P148" s="32">
        <v>189</v>
      </c>
      <c r="Q148" s="32">
        <v>142</v>
      </c>
      <c r="R148" s="32">
        <v>224</v>
      </c>
      <c r="S148" s="32">
        <v>149</v>
      </c>
      <c r="T148" s="32">
        <v>75</v>
      </c>
      <c r="U148" s="32">
        <v>182</v>
      </c>
      <c r="V148" s="32">
        <v>110</v>
      </c>
      <c r="W148" s="32">
        <v>40</v>
      </c>
      <c r="X148" s="32">
        <v>-427</v>
      </c>
      <c r="Y148" s="32">
        <v>-446</v>
      </c>
      <c r="Z148" s="32">
        <v>-24</v>
      </c>
    </row>
    <row r="149" spans="2:26" x14ac:dyDescent="0.3">
      <c r="B149" s="30" t="s">
        <v>808</v>
      </c>
      <c r="L149" s="32">
        <v>1244</v>
      </c>
      <c r="M149" s="32">
        <v>825</v>
      </c>
      <c r="N149" s="32">
        <v>329</v>
      </c>
      <c r="O149" s="32" t="s">
        <v>207</v>
      </c>
      <c r="P149" s="32" t="s">
        <v>207</v>
      </c>
      <c r="Q149" s="32" t="s">
        <v>207</v>
      </c>
      <c r="R149" s="32" t="s">
        <v>207</v>
      </c>
      <c r="S149" s="32" t="s">
        <v>207</v>
      </c>
      <c r="T149" s="32" t="s">
        <v>207</v>
      </c>
      <c r="U149" s="32" t="s">
        <v>207</v>
      </c>
      <c r="V149" s="32" t="s">
        <v>207</v>
      </c>
      <c r="W149" s="32" t="s">
        <v>207</v>
      </c>
      <c r="X149" s="32" t="s">
        <v>207</v>
      </c>
      <c r="Y149" s="32" t="s">
        <v>207</v>
      </c>
      <c r="Z149" s="32" t="s">
        <v>207</v>
      </c>
    </row>
    <row r="150" spans="2:26" x14ac:dyDescent="0.3">
      <c r="B150" s="30" t="s">
        <v>809</v>
      </c>
      <c r="L150" s="32">
        <v>-33</v>
      </c>
      <c r="M150" s="32">
        <v>-33</v>
      </c>
      <c r="N150" s="32">
        <v>-20</v>
      </c>
      <c r="O150" s="32">
        <v>93</v>
      </c>
      <c r="P150" s="32" t="s">
        <v>207</v>
      </c>
      <c r="Q150" s="32" t="s">
        <v>207</v>
      </c>
      <c r="R150" s="32">
        <v>-20</v>
      </c>
      <c r="S150" s="32">
        <v>-20</v>
      </c>
      <c r="T150" s="32">
        <v>-20</v>
      </c>
      <c r="U150" s="32" t="s">
        <v>207</v>
      </c>
      <c r="V150" s="32" t="s">
        <v>207</v>
      </c>
      <c r="W150" s="32" t="s">
        <v>207</v>
      </c>
      <c r="X150" s="32" t="s">
        <v>207</v>
      </c>
      <c r="Y150" s="32" t="s">
        <v>207</v>
      </c>
      <c r="Z150" s="32" t="s">
        <v>207</v>
      </c>
    </row>
    <row r="151" spans="2:26" x14ac:dyDescent="0.3">
      <c r="B151" s="30" t="s">
        <v>810</v>
      </c>
      <c r="L151" s="32">
        <v>495</v>
      </c>
      <c r="M151" s="32" t="s">
        <v>207</v>
      </c>
      <c r="N151" s="32" t="s">
        <v>207</v>
      </c>
      <c r="O151" s="32" t="s">
        <v>207</v>
      </c>
      <c r="P151" s="32" t="s">
        <v>207</v>
      </c>
      <c r="Q151" s="32" t="s">
        <v>207</v>
      </c>
      <c r="R151" s="32" t="s">
        <v>207</v>
      </c>
      <c r="S151" s="32" t="s">
        <v>207</v>
      </c>
      <c r="T151" s="32" t="s">
        <v>207</v>
      </c>
      <c r="U151" s="32" t="s">
        <v>207</v>
      </c>
      <c r="V151" s="32" t="s">
        <v>207</v>
      </c>
      <c r="W151" s="32" t="s">
        <v>207</v>
      </c>
      <c r="X151" s="32" t="s">
        <v>207</v>
      </c>
      <c r="Y151" s="32" t="s">
        <v>207</v>
      </c>
      <c r="Z151" s="32" t="s">
        <v>207</v>
      </c>
    </row>
    <row r="152" spans="2:26" x14ac:dyDescent="0.3">
      <c r="B152" s="30" t="s">
        <v>811</v>
      </c>
      <c r="L152" s="32" t="s">
        <v>207</v>
      </c>
      <c r="M152" s="32" t="s">
        <v>207</v>
      </c>
      <c r="N152" s="32" t="s">
        <v>207</v>
      </c>
      <c r="O152" s="32" t="s">
        <v>207</v>
      </c>
      <c r="P152" s="32" t="s">
        <v>207</v>
      </c>
      <c r="Q152" s="32" t="s">
        <v>207</v>
      </c>
      <c r="R152" s="32">
        <v>543</v>
      </c>
      <c r="S152" s="32">
        <v>543</v>
      </c>
      <c r="T152" s="32">
        <v>543</v>
      </c>
      <c r="U152" s="32">
        <v>75</v>
      </c>
      <c r="V152" s="32">
        <v>75</v>
      </c>
      <c r="W152" s="32" t="s">
        <v>207</v>
      </c>
      <c r="X152" s="32" t="s">
        <v>207</v>
      </c>
      <c r="Y152" s="32" t="s">
        <v>207</v>
      </c>
      <c r="Z152" s="32" t="s">
        <v>207</v>
      </c>
    </row>
    <row r="153" spans="2:26" x14ac:dyDescent="0.3">
      <c r="B153" s="30" t="s">
        <v>812</v>
      </c>
      <c r="L153" s="32" t="s">
        <v>207</v>
      </c>
      <c r="M153" s="32" t="s">
        <v>207</v>
      </c>
      <c r="N153" s="32" t="s">
        <v>207</v>
      </c>
      <c r="O153" s="32" t="s">
        <v>207</v>
      </c>
      <c r="P153" s="32" t="s">
        <v>207</v>
      </c>
      <c r="Q153" s="32" t="s">
        <v>207</v>
      </c>
      <c r="R153" s="32" t="s">
        <v>207</v>
      </c>
      <c r="S153" s="32" t="s">
        <v>207</v>
      </c>
      <c r="T153" s="32" t="s">
        <v>207</v>
      </c>
      <c r="U153" s="32" t="s">
        <v>207</v>
      </c>
      <c r="V153" s="32" t="s">
        <v>207</v>
      </c>
      <c r="W153" s="32" t="s">
        <v>207</v>
      </c>
      <c r="X153" s="32" t="s">
        <v>207</v>
      </c>
      <c r="Y153" s="32">
        <v>-127</v>
      </c>
      <c r="Z153" s="32" t="s">
        <v>207</v>
      </c>
    </row>
    <row r="154" spans="2:26" x14ac:dyDescent="0.3">
      <c r="B154" s="30" t="s">
        <v>277</v>
      </c>
      <c r="L154" s="32" t="s">
        <v>207</v>
      </c>
      <c r="M154" s="32" t="s">
        <v>207</v>
      </c>
      <c r="N154" s="32" t="s">
        <v>207</v>
      </c>
      <c r="O154" s="32" t="s">
        <v>207</v>
      </c>
      <c r="P154" s="32" t="s">
        <v>207</v>
      </c>
      <c r="Q154" s="32" t="s">
        <v>207</v>
      </c>
      <c r="R154" s="32" t="s">
        <v>207</v>
      </c>
      <c r="S154" s="32" t="s">
        <v>207</v>
      </c>
      <c r="T154" s="32" t="s">
        <v>207</v>
      </c>
      <c r="U154" s="32" t="s">
        <v>207</v>
      </c>
      <c r="V154" s="32" t="s">
        <v>207</v>
      </c>
      <c r="W154" s="32" t="s">
        <v>207</v>
      </c>
      <c r="X154" s="32">
        <v>360</v>
      </c>
      <c r="Y154" s="32">
        <v>240</v>
      </c>
      <c r="Z154" s="32">
        <v>120</v>
      </c>
    </row>
    <row r="155" spans="2:26" x14ac:dyDescent="0.3">
      <c r="B155" s="30" t="s">
        <v>813</v>
      </c>
      <c r="L155" s="32" t="s">
        <v>207</v>
      </c>
      <c r="M155" s="32" t="s">
        <v>207</v>
      </c>
      <c r="N155" s="32" t="s">
        <v>207</v>
      </c>
      <c r="O155" s="32" t="s">
        <v>207</v>
      </c>
      <c r="P155" s="32" t="s">
        <v>207</v>
      </c>
      <c r="Q155" s="32" t="s">
        <v>207</v>
      </c>
      <c r="R155" s="32" t="s">
        <v>207</v>
      </c>
      <c r="S155" s="32" t="s">
        <v>207</v>
      </c>
      <c r="T155" s="32" t="s">
        <v>207</v>
      </c>
      <c r="U155" s="32">
        <v>-838</v>
      </c>
      <c r="V155" s="32" t="s">
        <v>207</v>
      </c>
      <c r="W155" s="32" t="s">
        <v>207</v>
      </c>
      <c r="X155" s="32" t="s">
        <v>207</v>
      </c>
      <c r="Y155" s="32" t="s">
        <v>207</v>
      </c>
      <c r="Z155" s="32" t="s">
        <v>207</v>
      </c>
    </row>
    <row r="156" spans="2:26" x14ac:dyDescent="0.3">
      <c r="B156" s="30" t="s">
        <v>814</v>
      </c>
      <c r="L156" s="32" t="s">
        <v>207</v>
      </c>
      <c r="M156" s="32" t="s">
        <v>207</v>
      </c>
      <c r="N156" s="32" t="s">
        <v>207</v>
      </c>
      <c r="O156" s="32" t="s">
        <v>207</v>
      </c>
      <c r="P156" s="32" t="s">
        <v>207</v>
      </c>
      <c r="Q156" s="32" t="s">
        <v>207</v>
      </c>
      <c r="R156" s="32" t="s">
        <v>207</v>
      </c>
      <c r="S156" s="32" t="s">
        <v>207</v>
      </c>
      <c r="T156" s="32" t="s">
        <v>207</v>
      </c>
      <c r="U156" s="32" t="s">
        <v>207</v>
      </c>
      <c r="V156" s="32" t="s">
        <v>207</v>
      </c>
      <c r="W156" s="32" t="s">
        <v>207</v>
      </c>
      <c r="X156" s="32" t="s">
        <v>207</v>
      </c>
      <c r="Y156" s="32">
        <v>10</v>
      </c>
      <c r="Z156" s="32" t="s">
        <v>207</v>
      </c>
    </row>
    <row r="157" spans="2:26" x14ac:dyDescent="0.3">
      <c r="B157" s="30" t="s">
        <v>815</v>
      </c>
      <c r="L157" s="32" t="s">
        <v>207</v>
      </c>
      <c r="M157" s="32" t="s">
        <v>207</v>
      </c>
      <c r="N157" s="32" t="s">
        <v>207</v>
      </c>
      <c r="O157" s="32" t="s">
        <v>207</v>
      </c>
      <c r="P157" s="32" t="s">
        <v>207</v>
      </c>
      <c r="Q157" s="32" t="s">
        <v>207</v>
      </c>
      <c r="R157" s="32" t="s">
        <v>207</v>
      </c>
      <c r="S157" s="32" t="s">
        <v>207</v>
      </c>
      <c r="T157" s="32" t="s">
        <v>207</v>
      </c>
      <c r="U157" s="32" t="s">
        <v>207</v>
      </c>
      <c r="V157" s="32" t="s">
        <v>207</v>
      </c>
      <c r="W157" s="32" t="s">
        <v>207</v>
      </c>
      <c r="X157" s="32">
        <v>23</v>
      </c>
      <c r="Y157" s="32" t="s">
        <v>207</v>
      </c>
      <c r="Z157" s="32">
        <v>8</v>
      </c>
    </row>
    <row r="158" spans="2:26" x14ac:dyDescent="0.3">
      <c r="B158" s="30" t="s">
        <v>816</v>
      </c>
      <c r="L158" s="32" t="s">
        <v>207</v>
      </c>
      <c r="M158" s="32" t="s">
        <v>207</v>
      </c>
      <c r="N158" s="32" t="s">
        <v>207</v>
      </c>
      <c r="O158" s="32" t="s">
        <v>207</v>
      </c>
      <c r="P158" s="32" t="s">
        <v>207</v>
      </c>
      <c r="Q158" s="32" t="s">
        <v>207</v>
      </c>
      <c r="R158" s="32" t="s">
        <v>207</v>
      </c>
      <c r="S158" s="32" t="s">
        <v>207</v>
      </c>
      <c r="T158" s="32" t="s">
        <v>207</v>
      </c>
      <c r="U158" s="32" t="s">
        <v>207</v>
      </c>
      <c r="V158" s="32" t="s">
        <v>207</v>
      </c>
      <c r="W158" s="32" t="s">
        <v>207</v>
      </c>
      <c r="X158" s="32" t="s">
        <v>207</v>
      </c>
      <c r="Y158" s="32">
        <v>5</v>
      </c>
      <c r="Z158" s="32" t="s">
        <v>207</v>
      </c>
    </row>
    <row r="159" spans="2:26" x14ac:dyDescent="0.3">
      <c r="B159" s="30" t="s">
        <v>817</v>
      </c>
      <c r="L159" s="32" t="s">
        <v>207</v>
      </c>
      <c r="M159" s="32" t="s">
        <v>207</v>
      </c>
      <c r="N159" s="32" t="s">
        <v>207</v>
      </c>
      <c r="O159" s="32" t="s">
        <v>207</v>
      </c>
      <c r="P159" s="32" t="s">
        <v>207</v>
      </c>
      <c r="Q159" s="32" t="s">
        <v>207</v>
      </c>
      <c r="R159" s="32" t="s">
        <v>207</v>
      </c>
      <c r="S159" s="32" t="s">
        <v>207</v>
      </c>
      <c r="T159" s="32" t="s">
        <v>207</v>
      </c>
      <c r="U159" s="32" t="s">
        <v>207</v>
      </c>
      <c r="V159" s="32" t="s">
        <v>207</v>
      </c>
      <c r="W159" s="32" t="s">
        <v>207</v>
      </c>
      <c r="X159" s="32">
        <v>-165</v>
      </c>
      <c r="Y159" s="32" t="s">
        <v>207</v>
      </c>
      <c r="Z159" s="32" t="s">
        <v>207</v>
      </c>
    </row>
    <row r="160" spans="2:26" x14ac:dyDescent="0.3">
      <c r="B160" s="30" t="s">
        <v>384</v>
      </c>
      <c r="L160" s="32">
        <v>-53</v>
      </c>
      <c r="M160" s="32">
        <v>1917</v>
      </c>
      <c r="N160" s="32">
        <v>2345</v>
      </c>
      <c r="O160" s="32">
        <v>2305</v>
      </c>
      <c r="P160" s="32">
        <v>1727</v>
      </c>
      <c r="Q160" s="32">
        <v>1723</v>
      </c>
      <c r="R160" s="32">
        <v>-1788</v>
      </c>
      <c r="S160" s="32">
        <v>-2033</v>
      </c>
      <c r="T160" s="32">
        <v>-926</v>
      </c>
      <c r="U160" s="32">
        <v>1753</v>
      </c>
      <c r="V160" s="32">
        <v>1839</v>
      </c>
      <c r="W160" s="32">
        <v>644</v>
      </c>
      <c r="X160" s="32">
        <v>192</v>
      </c>
      <c r="Y160" s="32">
        <v>-545</v>
      </c>
      <c r="Z160" s="32">
        <v>-594</v>
      </c>
    </row>
    <row r="161" spans="2:26" x14ac:dyDescent="0.3">
      <c r="B161" s="30" t="s">
        <v>574</v>
      </c>
      <c r="L161" s="32">
        <v>-29</v>
      </c>
      <c r="M161" s="32">
        <v>-137</v>
      </c>
      <c r="N161" s="32">
        <v>-141</v>
      </c>
      <c r="O161" s="32">
        <v>-87</v>
      </c>
      <c r="P161" s="32">
        <v>-182</v>
      </c>
      <c r="Q161" s="32">
        <v>-163</v>
      </c>
      <c r="R161" s="32">
        <v>-257</v>
      </c>
      <c r="S161" s="32">
        <v>-283</v>
      </c>
      <c r="T161" s="32">
        <v>-270</v>
      </c>
      <c r="U161" s="32">
        <v>-134</v>
      </c>
      <c r="V161" s="32">
        <v>-41</v>
      </c>
      <c r="W161" s="32">
        <v>-87</v>
      </c>
      <c r="X161" s="32">
        <v>-291</v>
      </c>
      <c r="Y161" s="32">
        <v>-370</v>
      </c>
      <c r="Z161" s="32">
        <v>-321</v>
      </c>
    </row>
    <row r="162" spans="2:26" x14ac:dyDescent="0.3">
      <c r="B162" s="30" t="s">
        <v>818</v>
      </c>
      <c r="L162" s="32">
        <v>4942</v>
      </c>
      <c r="M162" s="32">
        <v>2840</v>
      </c>
      <c r="N162" s="32">
        <v>1565</v>
      </c>
      <c r="O162" s="32">
        <v>4199</v>
      </c>
      <c r="P162" s="32">
        <v>3550</v>
      </c>
      <c r="Q162" s="32">
        <v>1939</v>
      </c>
      <c r="R162" s="32">
        <v>1264</v>
      </c>
      <c r="S162" s="32">
        <v>704</v>
      </c>
      <c r="T162" s="32">
        <v>1044</v>
      </c>
      <c r="U162" s="32">
        <v>1682</v>
      </c>
      <c r="V162" s="32">
        <v>731</v>
      </c>
      <c r="W162" s="32">
        <v>588</v>
      </c>
      <c r="X162" s="32">
        <v>2402</v>
      </c>
      <c r="Y162" s="32">
        <v>1719</v>
      </c>
      <c r="Z162" s="32">
        <v>278</v>
      </c>
    </row>
    <row r="163" spans="2:26" x14ac:dyDescent="0.3">
      <c r="B163" s="30" t="s">
        <v>819</v>
      </c>
      <c r="L163" s="32">
        <v>-4911</v>
      </c>
      <c r="M163" s="32">
        <v>-7315</v>
      </c>
      <c r="N163" s="32">
        <v>-1596</v>
      </c>
      <c r="O163" s="32">
        <v>-3093</v>
      </c>
      <c r="P163" s="32">
        <v>-1219</v>
      </c>
      <c r="Q163" s="32">
        <v>-470</v>
      </c>
      <c r="R163" s="32">
        <v>-247</v>
      </c>
      <c r="S163" s="32">
        <v>-255</v>
      </c>
      <c r="T163" s="32">
        <v>668</v>
      </c>
      <c r="U163" s="32">
        <v>-1859</v>
      </c>
      <c r="V163" s="32">
        <v>-1911</v>
      </c>
      <c r="W163" s="32">
        <v>-272</v>
      </c>
      <c r="X163" s="32">
        <v>-602</v>
      </c>
      <c r="Y163" s="32">
        <v>-1535</v>
      </c>
      <c r="Z163" s="32">
        <v>-197</v>
      </c>
    </row>
    <row r="164" spans="2:26" x14ac:dyDescent="0.3">
      <c r="B164" s="30" t="s">
        <v>281</v>
      </c>
      <c r="L164" s="32">
        <v>12147</v>
      </c>
      <c r="M164" s="32">
        <v>11981</v>
      </c>
      <c r="N164" s="32">
        <v>10273</v>
      </c>
      <c r="O164" s="32">
        <v>28414</v>
      </c>
      <c r="P164" s="32">
        <v>20971</v>
      </c>
      <c r="Q164" s="32">
        <v>11452</v>
      </c>
      <c r="R164" s="32">
        <v>22411</v>
      </c>
      <c r="S164" s="32">
        <v>14077</v>
      </c>
      <c r="T164" s="32">
        <v>8145</v>
      </c>
      <c r="U164" s="32">
        <v>17897</v>
      </c>
      <c r="V164" s="32">
        <v>11030</v>
      </c>
      <c r="W164" s="32">
        <v>5521</v>
      </c>
      <c r="X164" s="32">
        <v>18498</v>
      </c>
      <c r="Y164" s="32">
        <v>11112</v>
      </c>
      <c r="Z164" s="32">
        <v>4202</v>
      </c>
    </row>
    <row r="165" spans="2:26" x14ac:dyDescent="0.3">
      <c r="B165" s="30" t="s">
        <v>820</v>
      </c>
      <c r="L165" s="32">
        <v>2041</v>
      </c>
      <c r="M165" s="32">
        <v>105</v>
      </c>
      <c r="N165" s="32">
        <v>51</v>
      </c>
      <c r="O165" s="32">
        <v>5106</v>
      </c>
      <c r="P165" s="32">
        <v>2866</v>
      </c>
      <c r="Q165" s="32">
        <v>1245</v>
      </c>
      <c r="R165" s="32">
        <v>629</v>
      </c>
      <c r="S165" s="32">
        <v>632</v>
      </c>
      <c r="T165" s="32">
        <v>632</v>
      </c>
      <c r="U165" s="32" t="s">
        <v>207</v>
      </c>
      <c r="V165" s="32">
        <v>2047</v>
      </c>
      <c r="W165" s="32" t="s">
        <v>207</v>
      </c>
      <c r="X165" s="32" t="s">
        <v>207</v>
      </c>
      <c r="Y165" s="32" t="s">
        <v>207</v>
      </c>
      <c r="Z165" s="32" t="s">
        <v>207</v>
      </c>
    </row>
    <row r="166" spans="2:26" x14ac:dyDescent="0.3">
      <c r="B166" s="30" t="s">
        <v>821</v>
      </c>
      <c r="L166" s="32">
        <v>945</v>
      </c>
      <c r="M166" s="32">
        <v>945</v>
      </c>
      <c r="N166" s="32">
        <v>932</v>
      </c>
      <c r="O166" s="32" t="s">
        <v>207</v>
      </c>
      <c r="P166" s="32" t="s">
        <v>207</v>
      </c>
      <c r="Q166" s="32" t="s">
        <v>207</v>
      </c>
      <c r="R166" s="32">
        <v>20</v>
      </c>
      <c r="S166" s="32">
        <v>20</v>
      </c>
      <c r="T166" s="32">
        <v>20</v>
      </c>
      <c r="U166" s="32" t="s">
        <v>207</v>
      </c>
      <c r="V166" s="32" t="s">
        <v>207</v>
      </c>
      <c r="W166" s="32" t="s">
        <v>207</v>
      </c>
      <c r="X166" s="32" t="s">
        <v>207</v>
      </c>
      <c r="Y166" s="32" t="s">
        <v>207</v>
      </c>
      <c r="Z166" s="32" t="s">
        <v>207</v>
      </c>
    </row>
    <row r="167" spans="2:26" x14ac:dyDescent="0.3">
      <c r="B167" s="30" t="s">
        <v>822</v>
      </c>
      <c r="L167" s="32">
        <v>1555</v>
      </c>
      <c r="M167" s="32">
        <v>403</v>
      </c>
      <c r="N167" s="32">
        <v>357</v>
      </c>
      <c r="O167" s="32">
        <v>107</v>
      </c>
      <c r="P167" s="32">
        <v>68</v>
      </c>
      <c r="Q167" s="32">
        <v>32</v>
      </c>
      <c r="R167" s="32">
        <v>98</v>
      </c>
      <c r="S167" s="32">
        <v>68</v>
      </c>
      <c r="T167" s="32">
        <v>28</v>
      </c>
      <c r="U167" s="32">
        <v>78</v>
      </c>
      <c r="V167" s="32">
        <v>55</v>
      </c>
      <c r="W167" s="32">
        <v>20</v>
      </c>
      <c r="X167" s="32" t="s">
        <v>207</v>
      </c>
      <c r="Y167" s="32" t="s">
        <v>207</v>
      </c>
      <c r="Z167" s="32" t="s">
        <v>207</v>
      </c>
    </row>
    <row r="168" spans="2:26" x14ac:dyDescent="0.3">
      <c r="B168" s="30" t="s">
        <v>823</v>
      </c>
      <c r="L168" s="32" t="s">
        <v>207</v>
      </c>
      <c r="M168" s="32" t="s">
        <v>207</v>
      </c>
      <c r="N168" s="32" t="s">
        <v>207</v>
      </c>
      <c r="O168" s="32">
        <v>-420</v>
      </c>
      <c r="P168" s="32">
        <v>-420</v>
      </c>
      <c r="Q168" s="32" t="s">
        <v>207</v>
      </c>
      <c r="R168" s="32" t="s">
        <v>207</v>
      </c>
      <c r="S168" s="32" t="s">
        <v>207</v>
      </c>
      <c r="T168" s="32" t="s">
        <v>207</v>
      </c>
      <c r="U168" s="32" t="s">
        <v>207</v>
      </c>
      <c r="V168" s="32" t="s">
        <v>207</v>
      </c>
      <c r="W168" s="32" t="s">
        <v>207</v>
      </c>
      <c r="X168" s="32" t="s">
        <v>207</v>
      </c>
      <c r="Y168" s="32" t="s">
        <v>207</v>
      </c>
      <c r="Z168" s="32" t="s">
        <v>207</v>
      </c>
    </row>
    <row r="169" spans="2:26" x14ac:dyDescent="0.3">
      <c r="B169" s="30" t="s">
        <v>824</v>
      </c>
      <c r="L169" s="32">
        <v>-5565</v>
      </c>
      <c r="M169" s="32">
        <v>-5323</v>
      </c>
      <c r="N169" s="32">
        <v>-4058</v>
      </c>
      <c r="O169" s="32">
        <v>-16901</v>
      </c>
      <c r="P169" s="32">
        <v>-13902</v>
      </c>
      <c r="Q169" s="32">
        <v>-7295</v>
      </c>
      <c r="R169" s="32">
        <v>-18827</v>
      </c>
      <c r="S169" s="32">
        <v>-9011</v>
      </c>
      <c r="T169" s="32">
        <v>-2769</v>
      </c>
      <c r="U169" s="32">
        <v>-9048</v>
      </c>
      <c r="V169" s="32">
        <v>-5680</v>
      </c>
      <c r="W169" s="32">
        <v>-3008</v>
      </c>
      <c r="X169" s="32">
        <v>-17576</v>
      </c>
      <c r="Y169" s="32">
        <v>-13561</v>
      </c>
      <c r="Z169" s="32">
        <v>-889</v>
      </c>
    </row>
    <row r="170" spans="2:26" x14ac:dyDescent="0.3">
      <c r="B170" s="30" t="s">
        <v>825</v>
      </c>
      <c r="L170" s="32" t="s">
        <v>207</v>
      </c>
      <c r="M170" s="32" t="s">
        <v>207</v>
      </c>
      <c r="N170" s="32" t="s">
        <v>207</v>
      </c>
      <c r="O170" s="32">
        <v>-13500</v>
      </c>
      <c r="P170" s="32">
        <v>-13500</v>
      </c>
      <c r="Q170" s="32">
        <v>-13500</v>
      </c>
      <c r="R170" s="32">
        <v>-484</v>
      </c>
      <c r="S170" s="32" t="s">
        <v>207</v>
      </c>
      <c r="T170" s="32" t="s">
        <v>207</v>
      </c>
      <c r="U170" s="32">
        <v>-9527</v>
      </c>
      <c r="V170" s="32" t="s">
        <v>207</v>
      </c>
      <c r="W170" s="32" t="s">
        <v>207</v>
      </c>
      <c r="X170" s="32" t="s">
        <v>207</v>
      </c>
      <c r="Y170" s="32" t="s">
        <v>207</v>
      </c>
      <c r="Z170" s="32" t="s">
        <v>207</v>
      </c>
    </row>
    <row r="171" spans="2:26" x14ac:dyDescent="0.3">
      <c r="B171" s="30" t="s">
        <v>826</v>
      </c>
      <c r="L171" s="32" t="s">
        <v>207</v>
      </c>
      <c r="M171" s="32" t="s">
        <v>207</v>
      </c>
      <c r="N171" s="32" t="s">
        <v>207</v>
      </c>
      <c r="O171" s="32" t="s">
        <v>207</v>
      </c>
      <c r="P171" s="32" t="s">
        <v>207</v>
      </c>
      <c r="Q171" s="32" t="s">
        <v>207</v>
      </c>
      <c r="R171" s="32" t="s">
        <v>207</v>
      </c>
      <c r="S171" s="32" t="s">
        <v>207</v>
      </c>
      <c r="T171" s="32" t="s">
        <v>207</v>
      </c>
      <c r="U171" s="32">
        <v>2145</v>
      </c>
      <c r="V171" s="32" t="s">
        <v>207</v>
      </c>
      <c r="W171" s="32" t="s">
        <v>207</v>
      </c>
      <c r="X171" s="32" t="s">
        <v>207</v>
      </c>
      <c r="Y171" s="32" t="s">
        <v>207</v>
      </c>
      <c r="Z171" s="32" t="s">
        <v>207</v>
      </c>
    </row>
    <row r="172" spans="2:26" x14ac:dyDescent="0.3">
      <c r="B172" s="30" t="s">
        <v>827</v>
      </c>
      <c r="L172" s="32" t="s">
        <v>207</v>
      </c>
      <c r="M172" s="32" t="s">
        <v>207</v>
      </c>
      <c r="N172" s="32" t="s">
        <v>207</v>
      </c>
      <c r="O172" s="32" t="s">
        <v>207</v>
      </c>
      <c r="P172" s="32" t="s">
        <v>207</v>
      </c>
      <c r="Q172" s="32" t="s">
        <v>207</v>
      </c>
      <c r="R172" s="32" t="s">
        <v>207</v>
      </c>
      <c r="S172" s="32" t="s">
        <v>207</v>
      </c>
      <c r="T172" s="32" t="s">
        <v>207</v>
      </c>
      <c r="U172" s="32" t="s">
        <v>207</v>
      </c>
      <c r="V172" s="32" t="s">
        <v>207</v>
      </c>
      <c r="W172" s="32" t="s">
        <v>207</v>
      </c>
      <c r="X172" s="32">
        <v>628</v>
      </c>
      <c r="Y172" s="32">
        <v>628</v>
      </c>
      <c r="Z172" s="32" t="s">
        <v>207</v>
      </c>
    </row>
    <row r="173" spans="2:26" x14ac:dyDescent="0.3">
      <c r="B173" s="30" t="s">
        <v>287</v>
      </c>
      <c r="L173" s="32">
        <v>-1024</v>
      </c>
      <c r="M173" s="32">
        <v>-3870</v>
      </c>
      <c r="N173" s="32">
        <v>-2718</v>
      </c>
      <c r="O173" s="32">
        <v>-25608</v>
      </c>
      <c r="P173" s="32">
        <v>-24888</v>
      </c>
      <c r="Q173" s="32">
        <v>-19518</v>
      </c>
      <c r="R173" s="32">
        <v>-18564</v>
      </c>
      <c r="S173" s="32">
        <v>-8291</v>
      </c>
      <c r="T173" s="32">
        <v>-2089</v>
      </c>
      <c r="U173" s="32">
        <v>-16352</v>
      </c>
      <c r="V173" s="32">
        <v>-3578</v>
      </c>
      <c r="W173" s="32">
        <v>-2988</v>
      </c>
      <c r="X173" s="32">
        <v>-16948</v>
      </c>
      <c r="Y173" s="32">
        <v>-12933</v>
      </c>
      <c r="Z173" s="32">
        <v>-889</v>
      </c>
    </row>
    <row r="174" spans="2:26" x14ac:dyDescent="0.3">
      <c r="B174" s="30" t="s">
        <v>828</v>
      </c>
      <c r="L174" s="32">
        <v>6503</v>
      </c>
      <c r="M174" s="32">
        <v>880</v>
      </c>
      <c r="N174" s="32">
        <v>318</v>
      </c>
      <c r="O174" s="32">
        <v>12330</v>
      </c>
      <c r="P174" s="32">
        <v>10296</v>
      </c>
      <c r="Q174" s="32">
        <v>5652</v>
      </c>
      <c r="R174" s="32">
        <v>72387</v>
      </c>
      <c r="S174" s="32">
        <v>62453</v>
      </c>
      <c r="T174" s="32">
        <v>58920</v>
      </c>
      <c r="U174" s="32">
        <v>11120</v>
      </c>
      <c r="V174" s="32">
        <v>2564</v>
      </c>
      <c r="W174" s="32">
        <v>1900</v>
      </c>
      <c r="X174" s="32">
        <v>17152</v>
      </c>
      <c r="Y174" s="32">
        <v>15517</v>
      </c>
      <c r="Z174" s="32">
        <v>4556</v>
      </c>
    </row>
    <row r="175" spans="2:26" x14ac:dyDescent="0.3">
      <c r="B175" s="30" t="s">
        <v>829</v>
      </c>
      <c r="L175" s="32">
        <v>-7489</v>
      </c>
      <c r="M175" s="32">
        <v>-4097</v>
      </c>
      <c r="N175" s="32">
        <v>-2081</v>
      </c>
      <c r="O175" s="32">
        <v>-18634</v>
      </c>
      <c r="P175" s="32">
        <v>-13287</v>
      </c>
      <c r="Q175" s="32">
        <v>-5279</v>
      </c>
      <c r="R175" s="32">
        <v>-70444</v>
      </c>
      <c r="S175" s="32">
        <v>-63518</v>
      </c>
      <c r="T175" s="32">
        <v>-61256</v>
      </c>
      <c r="U175" s="32">
        <v>-10839</v>
      </c>
      <c r="V175" s="32">
        <v>-6179</v>
      </c>
      <c r="W175" s="32">
        <v>-2152</v>
      </c>
      <c r="X175" s="32">
        <v>-9726</v>
      </c>
      <c r="Y175" s="32">
        <v>-7553</v>
      </c>
      <c r="Z175" s="32">
        <v>-4656</v>
      </c>
    </row>
    <row r="176" spans="2:26" x14ac:dyDescent="0.3">
      <c r="B176" s="30" t="s">
        <v>811</v>
      </c>
      <c r="L176" s="32" t="s">
        <v>207</v>
      </c>
      <c r="M176" s="32" t="s">
        <v>207</v>
      </c>
      <c r="N176" s="32" t="s">
        <v>207</v>
      </c>
      <c r="O176" s="32" t="s">
        <v>207</v>
      </c>
      <c r="P176" s="32" t="s">
        <v>207</v>
      </c>
      <c r="Q176" s="32" t="s">
        <v>207</v>
      </c>
      <c r="R176" s="32">
        <v>-543</v>
      </c>
      <c r="S176" s="32">
        <v>-543</v>
      </c>
      <c r="T176" s="32">
        <v>-543</v>
      </c>
      <c r="U176" s="32">
        <v>-75</v>
      </c>
      <c r="V176" s="32">
        <v>-75</v>
      </c>
      <c r="W176" s="32" t="s">
        <v>207</v>
      </c>
      <c r="X176" s="32" t="s">
        <v>207</v>
      </c>
      <c r="Y176" s="32" t="s">
        <v>207</v>
      </c>
      <c r="Z176" s="32" t="s">
        <v>207</v>
      </c>
    </row>
    <row r="177" spans="2:26" x14ac:dyDescent="0.3">
      <c r="B177" s="30" t="s">
        <v>830</v>
      </c>
      <c r="L177" s="32">
        <v>-8488</v>
      </c>
      <c r="M177" s="32">
        <v>-8488</v>
      </c>
      <c r="N177" s="32">
        <v>-6441</v>
      </c>
      <c r="O177" s="32">
        <v>-2364</v>
      </c>
      <c r="P177" s="32">
        <v>-1961</v>
      </c>
      <c r="Q177" s="32">
        <v>-355</v>
      </c>
      <c r="R177" s="32" t="s">
        <v>207</v>
      </c>
      <c r="S177" s="32" t="s">
        <v>207</v>
      </c>
      <c r="T177" s="32" t="s">
        <v>207</v>
      </c>
      <c r="U177" s="32">
        <v>-1099</v>
      </c>
      <c r="V177" s="32">
        <v>-1099</v>
      </c>
      <c r="W177" s="32">
        <v>-1101</v>
      </c>
      <c r="X177" s="32">
        <v>-5781</v>
      </c>
      <c r="Y177" s="32">
        <v>-4704</v>
      </c>
      <c r="Z177" s="32">
        <v>-2795</v>
      </c>
    </row>
    <row r="178" spans="2:26" x14ac:dyDescent="0.3">
      <c r="B178" s="30" t="s">
        <v>831</v>
      </c>
      <c r="L178" s="32">
        <v>-920</v>
      </c>
      <c r="M178" s="32">
        <v>-647</v>
      </c>
      <c r="N178" s="32">
        <v>-279</v>
      </c>
      <c r="O178" s="32">
        <v>-867</v>
      </c>
      <c r="P178" s="32">
        <v>-582</v>
      </c>
      <c r="Q178" s="32">
        <v>-291</v>
      </c>
      <c r="R178" s="32">
        <v>-876</v>
      </c>
      <c r="S178" s="32">
        <v>-583</v>
      </c>
      <c r="T178" s="32">
        <v>-292</v>
      </c>
      <c r="U178" s="32">
        <v>-877</v>
      </c>
      <c r="V178" s="32">
        <v>-584</v>
      </c>
      <c r="W178" s="32">
        <v>-290</v>
      </c>
      <c r="X178" s="32">
        <v>-591</v>
      </c>
      <c r="Y178" s="32">
        <v>-296</v>
      </c>
      <c r="Z178" s="32" t="s">
        <v>207</v>
      </c>
    </row>
    <row r="179" spans="2:26" x14ac:dyDescent="0.3">
      <c r="B179" s="30" t="s">
        <v>832</v>
      </c>
      <c r="L179" s="32" t="s">
        <v>207</v>
      </c>
      <c r="M179" s="32" t="s">
        <v>207</v>
      </c>
      <c r="N179" s="32" t="s">
        <v>207</v>
      </c>
      <c r="O179" s="32">
        <v>-20</v>
      </c>
      <c r="P179" s="32">
        <v>-20</v>
      </c>
      <c r="Q179" s="32" t="s">
        <v>207</v>
      </c>
      <c r="R179" s="32">
        <v>-960</v>
      </c>
      <c r="S179" s="32">
        <v>-909</v>
      </c>
      <c r="T179" s="32">
        <v>-799</v>
      </c>
      <c r="U179" s="32">
        <v>-123</v>
      </c>
      <c r="V179" s="32">
        <v>-99</v>
      </c>
      <c r="W179" s="32">
        <v>-99</v>
      </c>
      <c r="X179" s="32" t="s">
        <v>207</v>
      </c>
      <c r="Y179" s="32" t="s">
        <v>207</v>
      </c>
      <c r="Z179" s="32" t="s">
        <v>207</v>
      </c>
    </row>
    <row r="180" spans="2:26" x14ac:dyDescent="0.3">
      <c r="B180" s="30" t="s">
        <v>833</v>
      </c>
      <c r="L180" s="32" t="s">
        <v>207</v>
      </c>
      <c r="M180" s="32" t="s">
        <v>207</v>
      </c>
      <c r="N180" s="32" t="s">
        <v>207</v>
      </c>
      <c r="O180" s="32" t="s">
        <v>207</v>
      </c>
      <c r="P180" s="32" t="s">
        <v>207</v>
      </c>
      <c r="Q180" s="32" t="s">
        <v>207</v>
      </c>
      <c r="R180" s="32" t="s">
        <v>207</v>
      </c>
      <c r="S180" s="32" t="s">
        <v>207</v>
      </c>
      <c r="T180" s="32" t="s">
        <v>207</v>
      </c>
      <c r="U180" s="32">
        <v>-162</v>
      </c>
      <c r="V180" s="32" t="s">
        <v>207</v>
      </c>
      <c r="W180" s="32" t="s">
        <v>207</v>
      </c>
      <c r="X180" s="32">
        <v>-162</v>
      </c>
      <c r="Y180" s="32" t="s">
        <v>207</v>
      </c>
      <c r="Z180" s="32" t="s">
        <v>207</v>
      </c>
    </row>
    <row r="181" spans="2:26" x14ac:dyDescent="0.3">
      <c r="B181" s="30" t="s">
        <v>834</v>
      </c>
      <c r="L181" s="32">
        <v>-31</v>
      </c>
      <c r="M181" s="32">
        <v>-31</v>
      </c>
      <c r="N181" s="32">
        <v>-10</v>
      </c>
      <c r="O181" s="32">
        <v>-21</v>
      </c>
      <c r="P181" s="32" t="s">
        <v>207</v>
      </c>
      <c r="Q181" s="32" t="s">
        <v>207</v>
      </c>
      <c r="R181" s="32">
        <v>-162</v>
      </c>
      <c r="S181" s="32">
        <v>-108</v>
      </c>
      <c r="T181" s="32">
        <v>-54</v>
      </c>
      <c r="U181" s="32" t="s">
        <v>207</v>
      </c>
      <c r="V181" s="32">
        <v>-108</v>
      </c>
      <c r="W181" s="32">
        <v>-54</v>
      </c>
      <c r="X181" s="32" t="s">
        <v>207</v>
      </c>
      <c r="Y181" s="32">
        <v>-108</v>
      </c>
      <c r="Z181" s="32">
        <v>-54</v>
      </c>
    </row>
    <row r="182" spans="2:26" x14ac:dyDescent="0.3">
      <c r="B182" s="30" t="s">
        <v>298</v>
      </c>
      <c r="L182" s="32">
        <v>-10425</v>
      </c>
      <c r="M182" s="32">
        <v>-12383</v>
      </c>
      <c r="N182" s="32">
        <v>-8493</v>
      </c>
      <c r="O182" s="32">
        <v>-9576</v>
      </c>
      <c r="P182" s="32">
        <v>-5554</v>
      </c>
      <c r="Q182" s="32">
        <v>-273</v>
      </c>
      <c r="R182" s="32">
        <v>-598</v>
      </c>
      <c r="S182" s="32">
        <v>-3208</v>
      </c>
      <c r="T182" s="32">
        <v>-4024</v>
      </c>
      <c r="U182" s="32">
        <v>-2055</v>
      </c>
      <c r="V182" s="32">
        <v>-5580</v>
      </c>
      <c r="W182" s="32">
        <v>-1796</v>
      </c>
      <c r="X182" s="32">
        <v>892</v>
      </c>
      <c r="Y182" s="32">
        <v>2856</v>
      </c>
      <c r="Z182" s="32">
        <v>-2949</v>
      </c>
    </row>
    <row r="183" spans="2:26" x14ac:dyDescent="0.3">
      <c r="B183" s="30" t="s">
        <v>475</v>
      </c>
      <c r="L183" s="32">
        <v>698</v>
      </c>
      <c r="M183" s="32">
        <v>-4272</v>
      </c>
      <c r="N183" s="32">
        <v>-938</v>
      </c>
      <c r="O183" s="32">
        <v>-6770</v>
      </c>
      <c r="P183" s="32">
        <v>-9471</v>
      </c>
      <c r="Q183" s="32">
        <v>-8339</v>
      </c>
      <c r="R183" s="32">
        <v>3249</v>
      </c>
      <c r="S183" s="32">
        <v>2578</v>
      </c>
      <c r="T183" s="32">
        <v>2032</v>
      </c>
      <c r="U183" s="32">
        <v>-510</v>
      </c>
      <c r="V183" s="32">
        <v>1872</v>
      </c>
      <c r="W183" s="32">
        <v>737</v>
      </c>
      <c r="X183" s="32">
        <v>2442</v>
      </c>
      <c r="Y183" s="32">
        <v>1035</v>
      </c>
      <c r="Z183" s="32">
        <v>364</v>
      </c>
    </row>
    <row r="184" spans="2:26" x14ac:dyDescent="0.3">
      <c r="B184" s="30" t="s">
        <v>408</v>
      </c>
      <c r="L184" s="32">
        <v>14097</v>
      </c>
      <c r="M184" s="32">
        <v>14097</v>
      </c>
      <c r="N184" s="32">
        <v>14097</v>
      </c>
      <c r="O184" s="32">
        <v>17726</v>
      </c>
      <c r="P184" s="32">
        <v>17726</v>
      </c>
      <c r="Q184" s="32">
        <v>17726</v>
      </c>
      <c r="R184" s="32">
        <v>9922</v>
      </c>
      <c r="S184" s="32">
        <v>9922</v>
      </c>
      <c r="T184" s="32">
        <v>9922</v>
      </c>
      <c r="U184" s="32">
        <v>11327</v>
      </c>
      <c r="V184" s="32">
        <v>11327</v>
      </c>
      <c r="W184" s="32">
        <v>11327</v>
      </c>
      <c r="X184" s="32">
        <v>8020</v>
      </c>
      <c r="Y184" s="32">
        <v>8020</v>
      </c>
      <c r="Z184" s="32">
        <v>8020</v>
      </c>
    </row>
    <row r="185" spans="2:26" x14ac:dyDescent="0.3">
      <c r="B185" s="30" t="s">
        <v>409</v>
      </c>
      <c r="L185" s="32">
        <v>14795</v>
      </c>
      <c r="M185" s="32">
        <v>9825</v>
      </c>
      <c r="N185" s="32">
        <v>13159</v>
      </c>
      <c r="O185" s="32">
        <v>10956</v>
      </c>
      <c r="P185" s="32">
        <v>8255</v>
      </c>
      <c r="Q185" s="32">
        <v>9387</v>
      </c>
      <c r="R185" s="32">
        <v>13171</v>
      </c>
      <c r="S185" s="32">
        <v>12500</v>
      </c>
      <c r="T185" s="32">
        <v>11954</v>
      </c>
      <c r="U185" s="32">
        <v>10817</v>
      </c>
      <c r="V185" s="32">
        <v>13199</v>
      </c>
      <c r="W185" s="32">
        <v>12064</v>
      </c>
      <c r="X185" s="32">
        <v>10462</v>
      </c>
      <c r="Y185" s="32">
        <v>9055</v>
      </c>
      <c r="Z185" s="32">
        <v>8384</v>
      </c>
    </row>
    <row r="186" spans="2:26" x14ac:dyDescent="0.3">
      <c r="B186" s="30" t="s">
        <v>835</v>
      </c>
      <c r="L186" s="32">
        <v>7303</v>
      </c>
      <c r="M186" s="32">
        <v>4891</v>
      </c>
      <c r="N186" s="32">
        <v>2423</v>
      </c>
      <c r="O186" s="32">
        <v>7769</v>
      </c>
      <c r="P186" s="32">
        <v>5173</v>
      </c>
      <c r="Q186" s="32">
        <v>2345</v>
      </c>
      <c r="R186" s="32">
        <v>7168</v>
      </c>
      <c r="S186" s="32">
        <v>4966</v>
      </c>
      <c r="T186" s="32">
        <v>2890</v>
      </c>
      <c r="U186" s="32">
        <v>5778</v>
      </c>
      <c r="V186" s="32">
        <v>3788</v>
      </c>
      <c r="W186" s="32">
        <v>1920</v>
      </c>
      <c r="X186" s="32">
        <v>5740</v>
      </c>
      <c r="Y186" s="32">
        <v>3896</v>
      </c>
      <c r="Z186" s="32">
        <v>1919</v>
      </c>
    </row>
    <row r="187" spans="2:26" x14ac:dyDescent="0.3">
      <c r="B187" s="30" t="s">
        <v>836</v>
      </c>
      <c r="L187" s="32">
        <v>2067</v>
      </c>
      <c r="M187" s="32">
        <v>2105</v>
      </c>
      <c r="N187" s="32">
        <v>259</v>
      </c>
      <c r="O187" s="32">
        <v>1827</v>
      </c>
      <c r="P187" s="32">
        <v>319</v>
      </c>
      <c r="Q187" s="32">
        <v>243</v>
      </c>
      <c r="R187" s="32">
        <v>3263</v>
      </c>
      <c r="S187" s="32">
        <v>1903</v>
      </c>
      <c r="T187" s="32">
        <v>157</v>
      </c>
      <c r="U187" s="32">
        <v>2170</v>
      </c>
      <c r="V187" s="32">
        <v>73</v>
      </c>
      <c r="W187" s="32">
        <v>385</v>
      </c>
      <c r="X187" s="32">
        <v>289</v>
      </c>
      <c r="Y187" s="32">
        <v>97</v>
      </c>
      <c r="Z187" s="32">
        <v>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4" ma:contentTypeDescription="Create a new document." ma:contentTypeScope="" ma:versionID="a1580ca301b4181431a53ce84df76c2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2b38813b0d9a50e9d226e8b40486e391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0C97A7-CE5E-419A-8A88-77A71FD3A639}"/>
</file>

<file path=customXml/itemProps2.xml><?xml version="1.0" encoding="utf-8"?>
<ds:datastoreItem xmlns:ds="http://schemas.openxmlformats.org/officeDocument/2006/customXml" ds:itemID="{2074DE01-8998-4E70-9257-F295B58C80B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02E6742-F029-4CE8-B1E4-284BFA313481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6abb409-a4e2-4f01-93e5-51e136a2f211"/>
  </ds:schemaRefs>
</ds:datastoreItem>
</file>

<file path=customXml/itemProps4.xml><?xml version="1.0" encoding="utf-8"?>
<ds:datastoreItem xmlns:ds="http://schemas.openxmlformats.org/officeDocument/2006/customXml" ds:itemID="{BC645A59-2426-4D21-A3C5-0DE8D462C5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Screening</vt:lpstr>
      <vt:lpstr>Notes</vt:lpstr>
      <vt:lpstr>MHO</vt:lpstr>
      <vt:lpstr>AAN</vt:lpstr>
      <vt:lpstr>CATO</vt:lpstr>
      <vt:lpstr>GPI</vt:lpstr>
      <vt:lpstr>GIII</vt:lpstr>
      <vt:lpstr>GCO</vt:lpstr>
      <vt:lpstr>RICK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Carpenter</dc:creator>
  <cp:keywords/>
  <dc:description/>
  <cp:lastModifiedBy>Nero, Lee A.</cp:lastModifiedBy>
  <cp:revision/>
  <dcterms:created xsi:type="dcterms:W3CDTF">2020-09-29T19:08:27Z</dcterms:created>
  <dcterms:modified xsi:type="dcterms:W3CDTF">2020-10-05T15:40:55Z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