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FIN-4613/02 - Modeling Files/04 - Recommendation Reports/"/>
    </mc:Choice>
  </mc:AlternateContent>
  <xr:revisionPtr revIDLastSave="431" documentId="8_{60E58BC9-56A0-499F-8639-650600CEC4A0}" xr6:coauthVersionLast="46" xr6:coauthVersionMax="46" xr10:uidLastSave="{D0D851FE-1899-40F4-B181-FCD3426EE36C}"/>
  <bookViews>
    <workbookView xWindow="-120" yWindow="-120" windowWidth="29040" windowHeight="15840" xr2:uid="{9AEE6C3B-55F1-416E-BD42-D45C11C636D5}"/>
  </bookViews>
  <sheets>
    <sheet name="Recomendations" sheetId="1" r:id="rId1"/>
    <sheet name="Portfolio" sheetId="4" state="hidden" r:id="rId2"/>
    <sheet name="Var-Cov Matrix" sheetId="2" state="hidden" r:id="rId3"/>
    <sheet name="Returns" sheetId="3" state="hidden" r:id="rId4"/>
  </sheets>
  <definedNames>
    <definedName name="ExternalData_2" localSheetId="1" hidden="1">Portfolio!$H$5:$J$6</definedName>
    <definedName name="solver_adj" localSheetId="1" hidden="1">Portfolio!$H$8:$J$8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Portfolio!$D$8</definedName>
    <definedName name="solver_lhs2" localSheetId="1" hidden="1">Portfolio!$F$8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Portfolio!$C$8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2</definedName>
    <definedName name="solver_rhs1" localSheetId="1" hidden="1">Portfolio!$D$3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8" calcMode="autoNoTable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O6" i="1"/>
  <c r="O4" i="1"/>
  <c r="O5" i="1"/>
  <c r="G4" i="1" l="1"/>
  <c r="G3" i="1"/>
  <c r="H4" i="1" l="1"/>
  <c r="H3" i="1"/>
  <c r="E4" i="1"/>
  <c r="E3" i="1"/>
  <c r="H3" i="4"/>
  <c r="D8" i="4" s="1" a="1"/>
  <c r="D8" i="4" s="1"/>
  <c r="I3" i="4"/>
  <c r="J3" i="4"/>
  <c r="C8" i="4" a="1"/>
  <c r="C8" i="4" s="1"/>
  <c r="C9" i="4" s="1"/>
  <c r="F8" i="4"/>
  <c r="H5" i="1" l="1"/>
  <c r="H9" i="1" s="1"/>
  <c r="E5" i="1"/>
  <c r="D9" i="4"/>
  <c r="E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<sst xmlns="http://schemas.openxmlformats.org/spreadsheetml/2006/main" count="46" uniqueCount="31">
  <si>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Oct 20 Report</t>
  </si>
  <si>
    <t>Shares</t>
  </si>
  <si>
    <t>Total Cost</t>
  </si>
  <si>
    <t>Beg Weight</t>
  </si>
  <si>
    <t>Current Price</t>
  </si>
  <si>
    <t>Market Value</t>
  </si>
  <si>
    <t>End Weight</t>
  </si>
  <si>
    <t>Final Recommendation</t>
  </si>
  <si>
    <t>AAN</t>
  </si>
  <si>
    <t>Recommendation</t>
  </si>
  <si>
    <t>Screened Stock</t>
  </si>
  <si>
    <t>Sell (Buy)</t>
  </si>
  <si>
    <t>MHO</t>
  </si>
  <si>
    <t>Buy</t>
  </si>
  <si>
    <t>GPI</t>
  </si>
  <si>
    <t>ETF</t>
  </si>
  <si>
    <t>Sell</t>
  </si>
  <si>
    <t>Russell 2000</t>
  </si>
  <si>
    <t>Annualized Risk Free Rate</t>
  </si>
  <si>
    <t>Weekly Average Expected Return</t>
  </si>
  <si>
    <t>Average Return</t>
  </si>
  <si>
    <t>Standard Deviation</t>
  </si>
  <si>
    <t>Expected Return</t>
  </si>
  <si>
    <t>Sharpe Ratio</t>
  </si>
  <si>
    <t>Total</t>
  </si>
  <si>
    <t>GCO</t>
  </si>
  <si>
    <t>GIII</t>
  </si>
  <si>
    <t>Weekly</t>
  </si>
  <si>
    <t>Annualized</t>
  </si>
  <si>
    <t>Column1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</si>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</sst>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_);[Red]_(* \(#,##0\);_(* &quot;-&quot;_);_(@_)"/>
    <numFmt numFmtId="167" formatCode="_(* #,##0.0000000_);_(* \(#,##0.000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/>
      <right/>
      <top/>
      <bottom style="thin">
        <color theme="4" tint="0.399914548173467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8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2" applyNumberFormat="1" applyFont="1"/>
    <xf numFmtId="165" fontId="3" fillId="3" borderId="2" xfId="4" applyNumberFormat="1"/>
    <xf numFmtId="0" fontId="0" fillId="0" borderId="0" xfId="0" applyAlignment="1">
      <alignment horizontal="right"/>
    </xf>
    <xf numFmtId="0" fontId="5" fillId="4" borderId="3" xfId="0" applyFont="1" applyFill="1" applyBorder="1" applyAlignment="1"/>
    <xf numFmtId="0" fontId="5" fillId="4" borderId="4" xfId="0" applyFont="1" applyFill="1" applyBorder="1" applyAlignment="1">
      <alignment horizontal="center" wrapText="1"/>
    </xf>
    <xf numFmtId="166" fontId="5" fillId="4" borderId="3" xfId="4" applyNumberFormat="1" applyFont="1" applyFill="1" applyBorder="1" applyAlignment="1"/>
    <xf numFmtId="165" fontId="5" fillId="4" borderId="3" xfId="2" applyNumberFormat="1" applyFont="1" applyFill="1" applyBorder="1" applyAlignment="1"/>
    <xf numFmtId="164" fontId="5" fillId="4" borderId="4" xfId="1" applyNumberFormat="1" applyFont="1" applyFill="1" applyBorder="1" applyAlignment="1">
      <alignment horizontal="center" wrapText="1"/>
    </xf>
    <xf numFmtId="43" fontId="5" fillId="4" borderId="4" xfId="1" applyFont="1" applyFill="1" applyBorder="1" applyAlignment="1">
      <alignment horizontal="center" wrapText="1"/>
    </xf>
    <xf numFmtId="164" fontId="5" fillId="4" borderId="3" xfId="1" applyNumberFormat="1" applyFont="1" applyFill="1" applyBorder="1" applyAlignment="1"/>
    <xf numFmtId="164" fontId="2" fillId="2" borderId="1" xfId="3" applyNumberFormat="1"/>
    <xf numFmtId="167" fontId="0" fillId="0" borderId="0" xfId="1" applyNumberFormat="1" applyFont="1"/>
    <xf numFmtId="10" fontId="0" fillId="0" borderId="0" xfId="2" applyNumberFormat="1" applyFont="1"/>
    <xf numFmtId="0" fontId="4" fillId="0" borderId="0" xfId="0" applyFont="1" applyAlignment="1">
      <alignment horizontal="right"/>
    </xf>
    <xf numFmtId="10" fontId="2" fillId="2" borderId="1" xfId="3" applyNumberFormat="1"/>
    <xf numFmtId="10" fontId="0" fillId="0" borderId="0" xfId="0" applyNumberFormat="1"/>
    <xf numFmtId="10" fontId="3" fillId="3" borderId="2" xfId="4" applyNumberFormat="1"/>
    <xf numFmtId="10" fontId="2" fillId="2" borderId="1" xfId="2" applyNumberFormat="1" applyFont="1" applyFill="1" applyBorder="1"/>
    <xf numFmtId="0" fontId="6" fillId="5" borderId="0" xfId="0" applyFont="1" applyFill="1" applyAlignment="1">
      <alignment horizontal="centerContinuous" wrapText="1"/>
    </xf>
    <xf numFmtId="43" fontId="7" fillId="0" borderId="0" xfId="1" applyFont="1"/>
    <xf numFmtId="43" fontId="2" fillId="2" borderId="1" xfId="3" applyNumberFormat="1"/>
    <xf numFmtId="0" fontId="0" fillId="0" borderId="0" xfId="0" applyAlignment="1">
      <alignment horizontal="center"/>
    </xf>
    <xf numFmtId="43" fontId="0" fillId="0" borderId="0" xfId="0" applyNumberFormat="1"/>
    <xf numFmtId="0" fontId="4" fillId="0" borderId="0" xfId="0" applyFont="1" applyAlignment="1">
      <alignment horizontal="center"/>
    </xf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5">
    <dxf>
      <numFmt numFmtId="19" formatCode="m/d/yyyy"/>
    </dxf>
    <dxf>
      <numFmt numFmtId="167" formatCode="_(* #,##0.0000000_);_(* \(#,##0.0000000\);_(* &quot;-&quot;??_);_(@_)"/>
    </dxf>
    <dxf>
      <numFmt numFmtId="0" formatCode="General"/>
    </dxf>
    <dxf>
      <border>
        <bottom style="thin">
          <color theme="4" tint="0.39991454817346722"/>
        </bottom>
      </border>
    </dxf>
    <dxf>
      <font>
        <b/>
        <color auto="1"/>
        <family val="2"/>
      </font>
      <fill>
        <patternFill patternType="solid">
          <fgColor indexed="64"/>
          <bgColor theme="4" tint="0.7999511703848384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EE73B7-69A3-4C1D-8B80-214F53D3127A}" name="Names" displayName="Names" ref="H5:J6" insertRow="1" totalsRowShown="0" headerRowDxfId="4" headerRowBorderDxfId="3">
  <autoFilter ref="H5:J6" xr:uid="{AFB2169E-FE7D-4899-8470-3C07C954DFFA}">
    <filterColumn colId="0" hiddenButton="1"/>
    <filterColumn colId="1" hiddenButton="1"/>
    <filterColumn colId="2" hiddenButton="1"/>
  </autoFilter>
  <tableColumns count="3">
    <tableColumn id="154" xr3:uid="{72E68B46-DEEA-4077-AB60-64987F45051B}" name="GCO"/>
    <tableColumn id="155" xr3:uid="{68762D69-4550-4A34-9EA8-25A0E1CC7FB1}" name="GIII"/>
    <tableColumn id="156" xr3:uid="{FAD75AC2-3105-462F-A33A-48504E922AD5}" name="GP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F0D98-5CF7-4CB8-A72E-3B424D106C19}" name="Var_Cov_Matrix___Cons__Disc" displayName="Var_Cov_Matrix___Cons__Disc" ref="A1:D4" totalsRowShown="0">
  <autoFilter ref="A1:D4" xr:uid="{3A880754-5082-457D-9343-E60DEE83848B}"/>
  <tableColumns count="4">
    <tableColumn id="1" xr3:uid="{457733D6-EE7F-463C-8934-6049A1168832}" name="Column1" dataDxfId="2"/>
    <tableColumn id="2" xr3:uid="{DF4A4C7F-2B5A-44C3-89F7-5B08E636E970}" name="GCO" dataDxfId="1" dataCellStyle="Comma"/>
    <tableColumn id="3" xr3:uid="{E45AE1B5-A05E-4AF5-8F4A-2F05220FA3D0}" name="GIII"/>
    <tableColumn id="4" xr3:uid="{43890BCC-D61D-4070-9E05-D007E9226D5A}" name="GPI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068915-C904-463C-9CC3-0C8B4470BF61}" name="Returns___Cons__Disc" displayName="Returns___Cons__Disc" ref="A1:D25" totalsRowShown="0">
  <autoFilter ref="A1:D25" xr:uid="{5C9E6B85-7EFE-4C4D-B80E-C100E8A1E63B}"/>
  <tableColumns count="4">
    <tableColumn id="2" xr3:uid="{21A157D5-0D27-4D71-8FA7-56960B4253BA}" name="date" dataDxfId="0"/>
    <tableColumn id="3" xr3:uid="{C758058D-5883-4D26-BEC8-E07EEDAE4F4B}" name="GCO"/>
    <tableColumn id="1" xr3:uid="{5FCA784C-3969-42EA-91AF-1DA2C7C5A813}" name="GIII"/>
    <tableColumn id="4" xr3:uid="{D1402691-7CDD-420A-8865-391373318FAE}" name="GP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8383-9FB5-4727-BA05-B52B5D43E8C7}">
  <dimension ref="A2:O27"/>
  <sheetViews>
    <sheetView tabSelected="1" topLeftCell="J1" zoomScale="115" zoomScaleNormal="115" workbookViewId="0">
      <selection activeCell="O8" sqref="O8"/>
    </sheetView>
  </sheetViews>
  <sheetFormatPr defaultRowHeight="15" outlineLevelCol="1" x14ac:dyDescent="0.25"/>
  <cols>
    <col min="1" max="1" width="2.7109375" customWidth="1" outlineLevel="1"/>
    <col min="2" max="2" width="9.140625" customWidth="1" outlineLevel="1"/>
    <col min="3" max="3" width="10.7109375" customWidth="1" outlineLevel="1"/>
    <col min="4" max="4" width="12.7109375" style="3" customWidth="1" outlineLevel="1"/>
    <col min="5" max="8" width="12.7109375" style="2" customWidth="1" outlineLevel="1"/>
    <col min="9" max="9" width="2.7109375" customWidth="1" outlineLevel="1" collapsed="1"/>
    <col min="10" max="10" width="2.7109375" customWidth="1"/>
    <col min="11" max="11" width="12.7109375" style="6" customWidth="1"/>
    <col min="12" max="14" width="11.7109375" customWidth="1"/>
    <col min="15" max="15" width="12.5703125" bestFit="1" customWidth="1"/>
    <col min="16" max="16" width="2.7109375" customWidth="1"/>
    <col min="17" max="19" width="11.7109375" customWidth="1"/>
    <col min="20" max="20" width="12.5703125" bestFit="1" customWidth="1"/>
    <col min="21" max="21" width="2.7109375" customWidth="1"/>
  </cols>
  <sheetData>
    <row r="2" spans="2:15" ht="30" x14ac:dyDescent="0.25">
      <c r="B2" s="8" t="s">
        <v>0</v>
      </c>
      <c r="C2" s="8" t="s">
        <v>1</v>
      </c>
      <c r="D2" s="11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K2" s="22" t="s">
        <v>7</v>
      </c>
      <c r="L2" s="22"/>
      <c r="M2" s="22"/>
      <c r="N2" s="22"/>
      <c r="O2" s="22"/>
    </row>
    <row r="3" spans="2:15" ht="30" x14ac:dyDescent="0.25">
      <c r="B3" t="s">
        <v>8</v>
      </c>
      <c r="C3">
        <v>846</v>
      </c>
      <c r="D3" s="3">
        <v>43153.31</v>
      </c>
      <c r="E3" s="4">
        <f>D3 / D$5</f>
        <v>5.1695827925204475E-2</v>
      </c>
      <c r="F3" s="2">
        <v>60.89</v>
      </c>
      <c r="G3" s="3">
        <f>F3 * C3</f>
        <v>51512.94</v>
      </c>
      <c r="H3" s="4">
        <f>G3 / G$5</f>
        <v>5.0560729776126218E-2</v>
      </c>
      <c r="K3" s="8" t="s">
        <v>9</v>
      </c>
      <c r="L3" s="8" t="s">
        <v>10</v>
      </c>
      <c r="M3" s="8" t="s">
        <v>4</v>
      </c>
      <c r="N3" s="8" t="s">
        <v>1</v>
      </c>
      <c r="O3" s="8" t="s">
        <v>11</v>
      </c>
    </row>
    <row r="4" spans="2:15" x14ac:dyDescent="0.25">
      <c r="B4" t="s">
        <v>12</v>
      </c>
      <c r="C4">
        <v>1800</v>
      </c>
      <c r="D4" s="3">
        <v>33601.25</v>
      </c>
      <c r="E4" s="4">
        <f t="shared" ref="E4" si="0">D4 / D$5</f>
        <v>4.0252866769009771E-2</v>
      </c>
      <c r="F4" s="2">
        <v>44.36</v>
      </c>
      <c r="G4" s="3">
        <f>F4 * C4</f>
        <v>79848</v>
      </c>
      <c r="H4" s="4">
        <f>G4 / G$5</f>
        <v>7.8372019752010386E-2</v>
      </c>
      <c r="K4" s="27" t="s">
        <v>13</v>
      </c>
      <c r="L4" s="25" t="s">
        <v>14</v>
      </c>
      <c r="M4" s="24">
        <v>123.08</v>
      </c>
      <c r="N4" s="14">
        <v>600</v>
      </c>
      <c r="O4" s="2">
        <f>-N4 * M4</f>
        <v>-73848</v>
      </c>
    </row>
    <row r="5" spans="2:15" x14ac:dyDescent="0.25">
      <c r="B5" s="7" t="s">
        <v>15</v>
      </c>
      <c r="C5" s="9"/>
      <c r="D5" s="13">
        <v>834754.21</v>
      </c>
      <c r="E5" s="10">
        <f>SUM(E3:E4)</f>
        <v>9.1948694694214239E-2</v>
      </c>
      <c r="F5" s="10"/>
      <c r="G5" s="13">
        <v>1018833</v>
      </c>
      <c r="H5" s="10">
        <f>SUM(H3:H4)</f>
        <v>0.1289327495281366</v>
      </c>
      <c r="K5" s="27" t="s">
        <v>16</v>
      </c>
      <c r="L5" s="25" t="s">
        <v>8</v>
      </c>
      <c r="M5" s="24">
        <v>60.89</v>
      </c>
      <c r="N5" s="14">
        <v>846</v>
      </c>
      <c r="O5" s="2">
        <f>N5 * M5</f>
        <v>51512.94</v>
      </c>
    </row>
    <row r="6" spans="2:15" x14ac:dyDescent="0.25">
      <c r="G6" s="4"/>
      <c r="H6" s="4"/>
      <c r="K6" s="27" t="s">
        <v>16</v>
      </c>
      <c r="L6" s="25" t="s">
        <v>12</v>
      </c>
      <c r="M6" s="24">
        <v>44.36</v>
      </c>
      <c r="N6" s="14">
        <v>1800</v>
      </c>
      <c r="O6" s="2">
        <f>N6 * M6</f>
        <v>79848</v>
      </c>
    </row>
    <row r="7" spans="2:15" x14ac:dyDescent="0.25">
      <c r="G7" s="6" t="s">
        <v>17</v>
      </c>
      <c r="H7" s="5">
        <v>0.1178</v>
      </c>
      <c r="K7"/>
    </row>
    <row r="8" spans="2:15" x14ac:dyDescent="0.25">
      <c r="G8" s="4"/>
      <c r="H8" s="4"/>
      <c r="K8"/>
      <c r="O8" s="26">
        <f>SUM(O5:O6, ABS(O4))</f>
        <v>205208.94</v>
      </c>
    </row>
    <row r="9" spans="2:15" x14ac:dyDescent="0.25">
      <c r="G9" s="4"/>
      <c r="H9" s="2">
        <f>SUM(G3:G4) * (1 - (H5 - H7))</f>
        <v>129898.53155719943</v>
      </c>
      <c r="K9"/>
    </row>
    <row r="10" spans="2:15" x14ac:dyDescent="0.25">
      <c r="G10" s="4"/>
      <c r="H10" s="4"/>
      <c r="K10"/>
    </row>
    <row r="11" spans="2:15" x14ac:dyDescent="0.25">
      <c r="G11" s="4"/>
      <c r="H11" s="4"/>
    </row>
    <row r="12" spans="2:15" x14ac:dyDescent="0.25">
      <c r="F12" s="23"/>
      <c r="G12" s="4"/>
      <c r="H12" s="4"/>
    </row>
    <row r="13" spans="2:15" x14ac:dyDescent="0.25">
      <c r="G13" s="4"/>
      <c r="H13" s="4"/>
    </row>
    <row r="14" spans="2:15" x14ac:dyDescent="0.25">
      <c r="G14" s="4"/>
      <c r="H14" s="4"/>
    </row>
    <row r="15" spans="2:15" x14ac:dyDescent="0.25">
      <c r="G15" s="4"/>
      <c r="H15" s="4"/>
    </row>
    <row r="16" spans="2:15" x14ac:dyDescent="0.25">
      <c r="G16" s="4"/>
      <c r="H16" s="4"/>
      <c r="O16" s="26"/>
    </row>
    <row r="17" spans="7:8" x14ac:dyDescent="0.25">
      <c r="G17" s="4"/>
      <c r="H17" s="4"/>
    </row>
    <row r="18" spans="7:8" x14ac:dyDescent="0.25">
      <c r="G18" s="4"/>
      <c r="H18" s="4"/>
    </row>
    <row r="19" spans="7:8" x14ac:dyDescent="0.25">
      <c r="G19" s="4"/>
      <c r="H19" s="4"/>
    </row>
    <row r="20" spans="7:8" x14ac:dyDescent="0.25">
      <c r="G20" s="4"/>
      <c r="H20" s="4"/>
    </row>
    <row r="21" spans="7:8" x14ac:dyDescent="0.25">
      <c r="G21" s="4"/>
      <c r="H21" s="4"/>
    </row>
    <row r="22" spans="7:8" x14ac:dyDescent="0.25">
      <c r="G22" s="4"/>
      <c r="H22" s="4"/>
    </row>
    <row r="23" spans="7:8" x14ac:dyDescent="0.25">
      <c r="G23" s="4"/>
      <c r="H23" s="4"/>
    </row>
    <row r="24" spans="7:8" x14ac:dyDescent="0.25">
      <c r="G24" s="4"/>
      <c r="H24" s="4"/>
    </row>
    <row r="25" spans="7:8" x14ac:dyDescent="0.25">
      <c r="G25" s="4"/>
      <c r="H25" s="4"/>
    </row>
    <row r="26" spans="7:8" x14ac:dyDescent="0.25">
      <c r="G26" s="4"/>
      <c r="H26" s="4"/>
    </row>
    <row r="27" spans="7:8" x14ac:dyDescent="0.25">
      <c r="G27" s="4"/>
      <c r="H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CF82-CD67-4608-9C57-E3FF15F899B5}">
  <dimension ref="B2:J9"/>
  <sheetViews>
    <sheetView zoomScale="115" zoomScaleNormal="115" workbookViewId="0">
      <selection activeCell="J8" sqref="J8"/>
    </sheetView>
  </sheetViews>
  <sheetFormatPr defaultColWidth="8.7109375" defaultRowHeight="15" outlineLevelRow="1" x14ac:dyDescent="0.25"/>
  <cols>
    <col min="1" max="1" width="2.7109375" customWidth="1"/>
    <col min="2" max="2" width="26.7109375" bestFit="1" customWidth="1"/>
    <col min="3" max="6" width="11.7109375" customWidth="1"/>
    <col min="7" max="7" width="2.7109375" customWidth="1"/>
  </cols>
  <sheetData>
    <row r="2" spans="2:10" x14ac:dyDescent="0.25">
      <c r="C2" s="17" t="s">
        <v>18</v>
      </c>
      <c r="D2" s="18">
        <v>1.4999999999999999E-2</v>
      </c>
    </row>
    <row r="3" spans="2:10" x14ac:dyDescent="0.25">
      <c r="C3" s="17" t="s">
        <v>19</v>
      </c>
      <c r="D3" s="21">
        <v>7.4999999999999997E-2</v>
      </c>
      <c r="E3" s="17"/>
      <c r="F3" s="17"/>
      <c r="G3" s="17" t="s">
        <v>20</v>
      </c>
      <c r="H3" s="20">
        <f>AVERAGE(Returns!B:B)</f>
        <v>-5.2760895842912268E-3</v>
      </c>
      <c r="I3" s="20">
        <f>AVERAGE(Returns!C:C)</f>
        <v>1.7319739928864895E-3</v>
      </c>
      <c r="J3" s="20">
        <f>AVERAGE(Returns!D:D)</f>
        <v>4.663066855905789E-2</v>
      </c>
    </row>
    <row r="5" spans="2:10" ht="30" x14ac:dyDescent="0.25">
      <c r="C5" s="8" t="s">
        <v>21</v>
      </c>
      <c r="D5" s="8" t="s">
        <v>22</v>
      </c>
      <c r="E5" s="8" t="s">
        <v>23</v>
      </c>
      <c r="F5" s="8" t="s">
        <v>24</v>
      </c>
      <c r="H5" s="8" t="s">
        <v>25</v>
      </c>
      <c r="I5" s="8" t="s">
        <v>26</v>
      </c>
      <c r="J5" s="8" t="s">
        <v>14</v>
      </c>
    </row>
    <row r="6" spans="2:10" hidden="1" outlineLevel="1" x14ac:dyDescent="0.25"/>
    <row r="7" spans="2:10" hidden="1" outlineLevel="1" x14ac:dyDescent="0.25"/>
    <row r="8" spans="2:10" collapsed="1" x14ac:dyDescent="0.25">
      <c r="B8" s="17" t="s">
        <v>27</v>
      </c>
      <c r="C8" s="16" cm="1">
        <f t="array" ref="C8">SQRT(MMULT(MMULT(H8:J8, Var_Cov_Matrix___Cons__Disc[[GCO]:[GPI]]), TRANSPOSE(Portfolio!H8:J8)))</f>
        <v>0.30348865374615563</v>
      </c>
      <c r="D8" s="16" cm="1">
        <f t="array" ref="D8">MMULT(H8:J8, TRANSPOSE(H3:J3))</f>
        <v>2.7318141217119639E-2</v>
      </c>
      <c r="E8" s="16">
        <f>(D8 - ($D$2 / 52)) / C8</f>
        <v>8.9063229695783938E-2</v>
      </c>
      <c r="F8" s="19">
        <f>SUM(H8:J8)</f>
        <v>1</v>
      </c>
      <c r="H8" s="18">
        <v>0.32813084389563357</v>
      </c>
      <c r="I8" s="18">
        <v>5.0788091068301226E-2</v>
      </c>
      <c r="J8" s="18">
        <v>0.62108106503606519</v>
      </c>
    </row>
    <row r="9" spans="2:10" x14ac:dyDescent="0.25">
      <c r="B9" s="17" t="s">
        <v>28</v>
      </c>
      <c r="C9" s="16">
        <f>C8 * SQRT(52)</f>
        <v>2.1884878052066008</v>
      </c>
      <c r="D9" s="16">
        <f>D8 * 52</f>
        <v>1.4205433432902212</v>
      </c>
      <c r="E9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8799-F973-422E-89F1-48DA53DE2DA3}">
  <dimension ref="A1:D4"/>
  <sheetViews>
    <sheetView workbookViewId="0">
      <selection activeCell="J8" sqref="J8"/>
    </sheetView>
  </sheetViews>
  <sheetFormatPr defaultRowHeight="15" x14ac:dyDescent="0.25"/>
  <cols>
    <col min="1" max="1" width="11.140625" bestFit="1" customWidth="1"/>
    <col min="2" max="157" width="11.7109375" bestFit="1" customWidth="1"/>
  </cols>
  <sheetData>
    <row r="1" spans="1:4" x14ac:dyDescent="0.25">
      <c r="A1" t="s">
        <v>29</v>
      </c>
      <c r="B1" t="s">
        <v>25</v>
      </c>
      <c r="C1" t="s">
        <v>26</v>
      </c>
      <c r="D1" t="s">
        <v>14</v>
      </c>
    </row>
    <row r="2" spans="1:4" x14ac:dyDescent="0.25">
      <c r="A2" t="s">
        <v>25</v>
      </c>
      <c r="B2" s="15">
        <v>0.26841560002385101</v>
      </c>
      <c r="C2">
        <v>0.17028746793794</v>
      </c>
      <c r="D2">
        <v>4.5758304535921503E-3</v>
      </c>
    </row>
    <row r="3" spans="1:4" x14ac:dyDescent="0.25">
      <c r="A3" t="s">
        <v>26</v>
      </c>
      <c r="B3" s="15">
        <v>0.17028746793794</v>
      </c>
      <c r="C3">
        <v>0.33549309020009299</v>
      </c>
      <c r="D3">
        <v>6.2875803108615805E-2</v>
      </c>
    </row>
    <row r="4" spans="1:4" x14ac:dyDescent="0.25">
      <c r="A4" t="s">
        <v>14</v>
      </c>
      <c r="B4" s="15">
        <v>4.5758304535921503E-3</v>
      </c>
      <c r="C4">
        <v>6.2875803108615805E-2</v>
      </c>
      <c r="D4">
        <v>0.13177799545267899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FF3A-6C71-457B-8C0F-EBD9E0B99495}">
  <dimension ref="A1:D25"/>
  <sheetViews>
    <sheetView workbookViewId="0">
      <selection activeCell="J8" sqref="J8"/>
    </sheetView>
  </sheetViews>
  <sheetFormatPr defaultRowHeight="15" x14ac:dyDescent="0.25"/>
  <cols>
    <col min="1" max="1" width="9.7109375" bestFit="1" customWidth="1"/>
    <col min="2" max="84" width="12.7109375" bestFit="1" customWidth="1"/>
    <col min="85" max="85" width="20.5703125" bestFit="1" customWidth="1"/>
    <col min="86" max="158" width="12.7109375" bestFit="1" customWidth="1"/>
  </cols>
  <sheetData>
    <row r="1" spans="1:4" x14ac:dyDescent="0.25">
      <c r="A1" t="s">
        <v>30</v>
      </c>
      <c r="B1" t="s">
        <v>25</v>
      </c>
      <c r="C1" t="s">
        <v>26</v>
      </c>
      <c r="D1" t="s">
        <v>14</v>
      </c>
    </row>
    <row r="2" spans="1:4" x14ac:dyDescent="0.25">
      <c r="A2" s="1">
        <v>43437</v>
      </c>
      <c r="B2">
        <v>-2.32402458100558E-2</v>
      </c>
      <c r="C2">
        <v>6.4052555673342407E-2</v>
      </c>
      <c r="D2">
        <v>-5.5225325897281198E-3</v>
      </c>
    </row>
    <row r="3" spans="1:4" x14ac:dyDescent="0.25">
      <c r="A3" s="1">
        <v>43467</v>
      </c>
      <c r="B3">
        <v>3.0885427382416401E-2</v>
      </c>
      <c r="C3">
        <v>-0.34676123476221599</v>
      </c>
      <c r="D3">
        <v>-2.4627136776098599E-2</v>
      </c>
    </row>
    <row r="4" spans="1:4" x14ac:dyDescent="0.25">
      <c r="A4" s="1">
        <v>43497</v>
      </c>
      <c r="B4">
        <v>1.5534842087554499E-3</v>
      </c>
      <c r="C4">
        <v>0.222494666345667</v>
      </c>
      <c r="D4">
        <v>0.122558111475355</v>
      </c>
    </row>
    <row r="5" spans="1:4" x14ac:dyDescent="0.25">
      <c r="A5" s="1">
        <v>43525</v>
      </c>
      <c r="B5">
        <v>6.9576754496415899E-2</v>
      </c>
      <c r="C5">
        <v>3.0954486413141E-2</v>
      </c>
      <c r="D5">
        <v>2.3949289651961501E-2</v>
      </c>
    </row>
    <row r="6" spans="1:4" x14ac:dyDescent="0.25">
      <c r="A6" s="1">
        <v>43556</v>
      </c>
      <c r="B6">
        <v>-5.6142510876320703E-2</v>
      </c>
      <c r="C6">
        <v>0.13817063836056001</v>
      </c>
      <c r="D6">
        <v>7.0681159182152106E-2</v>
      </c>
    </row>
    <row r="7" spans="1:4" x14ac:dyDescent="0.25">
      <c r="A7" s="1">
        <v>43586</v>
      </c>
      <c r="B7">
        <v>-4.8946421225934497E-2</v>
      </c>
      <c r="C7">
        <v>3.3952199168348698E-2</v>
      </c>
      <c r="D7">
        <v>0.164962295076271</v>
      </c>
    </row>
    <row r="8" spans="1:4" x14ac:dyDescent="0.25">
      <c r="A8" s="1">
        <v>43619</v>
      </c>
      <c r="B8">
        <v>6.8312920917935602E-2</v>
      </c>
      <c r="C8">
        <v>-0.390739433463764</v>
      </c>
      <c r="D8">
        <v>-2.16746364725862E-2</v>
      </c>
    </row>
    <row r="9" spans="1:4" x14ac:dyDescent="0.25">
      <c r="A9" s="1">
        <v>43647</v>
      </c>
      <c r="B9">
        <v>-9.1164417991695404E-2</v>
      </c>
      <c r="C9">
        <v>0.15316009487552901</v>
      </c>
      <c r="D9">
        <v>9.2810808891041804E-2</v>
      </c>
    </row>
    <row r="10" spans="1:4" x14ac:dyDescent="0.25">
      <c r="A10" s="1">
        <v>43678</v>
      </c>
      <c r="B10">
        <v>-0.128595198478726</v>
      </c>
      <c r="C10">
        <v>-0.12273032952252801</v>
      </c>
      <c r="D10">
        <v>-3.63526193060015E-4</v>
      </c>
    </row>
    <row r="11" spans="1:4" x14ac:dyDescent="0.25">
      <c r="A11" s="1">
        <v>43711</v>
      </c>
      <c r="B11">
        <v>-4.9645390070921801E-2</v>
      </c>
      <c r="C11">
        <v>-0.27711763127635097</v>
      </c>
      <c r="D11">
        <v>-0.11039529920637201</v>
      </c>
    </row>
    <row r="12" spans="1:4" x14ac:dyDescent="0.25">
      <c r="A12" s="1">
        <v>43739</v>
      </c>
      <c r="B12">
        <v>0.104477611940298</v>
      </c>
      <c r="C12">
        <v>0.31495215721356501</v>
      </c>
      <c r="D12">
        <v>0.22494196474193401</v>
      </c>
    </row>
    <row r="13" spans="1:4" x14ac:dyDescent="0.25">
      <c r="A13" s="1">
        <v>43770</v>
      </c>
      <c r="B13">
        <v>9.3555093555095503E-3</v>
      </c>
      <c r="C13">
        <v>8.1854882332858203E-2</v>
      </c>
      <c r="D13">
        <v>0.12804195148365599</v>
      </c>
    </row>
    <row r="14" spans="1:4" x14ac:dyDescent="0.25">
      <c r="A14" s="1">
        <v>43801</v>
      </c>
      <c r="B14">
        <v>-4.9691040164778801E-2</v>
      </c>
      <c r="C14">
        <v>7.86433469996273E-2</v>
      </c>
      <c r="D14">
        <v>1.6228229803191101E-2</v>
      </c>
    </row>
    <row r="15" spans="1:4" x14ac:dyDescent="0.25">
      <c r="A15" s="1">
        <v>43832</v>
      </c>
      <c r="B15">
        <v>0.28718499051747498</v>
      </c>
      <c r="C15">
        <v>0.16171381611216901</v>
      </c>
      <c r="D15">
        <v>-1.7478773933020102E-2</v>
      </c>
    </row>
    <row r="16" spans="1:4" x14ac:dyDescent="0.25">
      <c r="A16" s="1">
        <v>43864</v>
      </c>
      <c r="B16">
        <v>-0.14965262680078401</v>
      </c>
      <c r="C16">
        <v>-0.168054734326435</v>
      </c>
      <c r="D16">
        <v>1.1528471268431199E-2</v>
      </c>
    </row>
    <row r="17" spans="1:4" x14ac:dyDescent="0.25">
      <c r="A17" s="1">
        <v>43892</v>
      </c>
      <c r="B17">
        <v>-0.15396043792275099</v>
      </c>
      <c r="C17">
        <v>-0.21058273902691199</v>
      </c>
      <c r="D17">
        <v>-0.175348490199523</v>
      </c>
    </row>
    <row r="18" spans="1:4" x14ac:dyDescent="0.25">
      <c r="A18" s="1">
        <v>43922</v>
      </c>
      <c r="B18">
        <v>-0.660327677004096</v>
      </c>
      <c r="C18">
        <v>-0.71014492753623204</v>
      </c>
      <c r="D18">
        <v>-0.509803915707842</v>
      </c>
    </row>
    <row r="19" spans="1:4" x14ac:dyDescent="0.25">
      <c r="A19" s="1">
        <v>43952</v>
      </c>
      <c r="B19">
        <v>0.55124892334194697</v>
      </c>
      <c r="C19">
        <v>0.5703125</v>
      </c>
      <c r="D19">
        <v>0.31439021951219498</v>
      </c>
    </row>
    <row r="20" spans="1:4" x14ac:dyDescent="0.25">
      <c r="A20" s="1">
        <v>43983</v>
      </c>
      <c r="B20">
        <v>6.1632481954469603E-2</v>
      </c>
      <c r="C20">
        <v>0.12139303482586999</v>
      </c>
      <c r="D20">
        <v>0.15809985448320399</v>
      </c>
    </row>
    <row r="21" spans="1:4" x14ac:dyDescent="0.25">
      <c r="A21" s="1">
        <v>44013</v>
      </c>
      <c r="B21">
        <v>6.2238385866193499E-2</v>
      </c>
      <c r="C21">
        <v>0.125998225377107</v>
      </c>
      <c r="D21">
        <v>1.97083640442237E-2</v>
      </c>
    </row>
    <row r="22" spans="1:4" x14ac:dyDescent="0.25">
      <c r="A22" s="1">
        <v>44046</v>
      </c>
      <c r="B22">
        <v>-0.29197436198790599</v>
      </c>
      <c r="C22">
        <v>-0.24113475177304999</v>
      </c>
      <c r="D22">
        <v>0.39283470133303999</v>
      </c>
    </row>
    <row r="23" spans="1:4" x14ac:dyDescent="0.25">
      <c r="A23" s="1">
        <v>44075</v>
      </c>
      <c r="B23">
        <v>0.45757990264255899</v>
      </c>
      <c r="C23">
        <v>0.19937694704049799</v>
      </c>
      <c r="D23">
        <v>3.05730937564654E-2</v>
      </c>
    </row>
    <row r="24" spans="1:4" x14ac:dyDescent="0.25">
      <c r="A24" s="1">
        <v>44105</v>
      </c>
      <c r="B24">
        <v>4.2461881796845603E-2</v>
      </c>
      <c r="C24">
        <v>0.206060606060606</v>
      </c>
      <c r="D24">
        <v>1.54351836986357E-2</v>
      </c>
    </row>
    <row r="25" spans="1:4" x14ac:dyDescent="0.25">
      <c r="A25" s="1">
        <v>44137</v>
      </c>
      <c r="B25">
        <v>-0.16979409610984</v>
      </c>
      <c r="C25">
        <v>5.7430007178751498E-3</v>
      </c>
      <c r="D25">
        <v>0.19760665809386199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4EA23C-90CD-48C2-AB2C-8A6DCA215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11EF0-7F4D-449F-97FB-8FE1FACCBA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92DDA2-A6B7-4237-AEE5-0F4122D934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Recomendations</vt:lpstr>
      <vt:lpstr>Portfolio</vt:lpstr>
      <vt:lpstr>Var-Cov Matrix</vt:lpstr>
      <vt:lpstr>Returns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Carpenter</dc:creator>
  <cp:keywords/>
  <dc:description/>
  <cp:lastModifiedBy>Daniel Carpenter</cp:lastModifiedBy>
  <cp:revision/>
  <dcterms:created xsi:type="dcterms:W3CDTF">2020-11-12T19:56:45Z</dcterms:created>
  <dcterms:modified xsi:type="dcterms:W3CDTF">2021-12-17T18:56:43Z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