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anfeng.Qin\Desktop\stellaris\"/>
    </mc:Choice>
  </mc:AlternateContent>
  <xr:revisionPtr revIDLastSave="0" documentId="13_ncr:1_{6766A320-150D-416A-950D-C103F07BD0A7}" xr6:coauthVersionLast="47" xr6:coauthVersionMax="47" xr10:uidLastSave="{00000000-0000-0000-0000-000000000000}"/>
  <bookViews>
    <workbookView xWindow="-110" yWindow="-110" windowWidth="18470" windowHeight="11020" activeTab="4" xr2:uid="{00000000-000D-0000-FFFF-FFFF00000000}"/>
  </bookViews>
  <sheets>
    <sheet name="Readme" sheetId="4" r:id="rId1"/>
    <sheet name="Job" sheetId="1" r:id="rId2"/>
    <sheet name="Hitpoint" sheetId="2" r:id="rId3"/>
    <sheet name="Combat" sheetId="3" r:id="rId4"/>
    <sheet name="Weap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5" l="1"/>
  <c r="R16" i="5"/>
  <c r="Q16" i="5"/>
  <c r="P16" i="5"/>
  <c r="I16" i="5"/>
  <c r="G16" i="5"/>
  <c r="F8" i="3"/>
  <c r="H8" i="3" s="1"/>
  <c r="D8" i="3"/>
  <c r="S13" i="5"/>
  <c r="S9" i="5"/>
  <c r="S5" i="5"/>
  <c r="S4" i="5"/>
  <c r="S6" i="5"/>
  <c r="S7" i="5"/>
  <c r="S8" i="5"/>
  <c r="S10" i="5"/>
  <c r="S11" i="5"/>
  <c r="S12" i="5"/>
  <c r="S14" i="5"/>
  <c r="S15" i="5"/>
  <c r="S3" i="5"/>
  <c r="G15" i="5"/>
  <c r="I15" i="5" s="1"/>
  <c r="O15" i="5" s="1"/>
  <c r="G14" i="5"/>
  <c r="I14" i="5" s="1"/>
  <c r="G13" i="5"/>
  <c r="I13" i="5" s="1"/>
  <c r="G12" i="5"/>
  <c r="I12" i="5" s="1"/>
  <c r="G11" i="5"/>
  <c r="I11" i="5" s="1"/>
  <c r="G9" i="5"/>
  <c r="I9" i="5" s="1"/>
  <c r="G10" i="5"/>
  <c r="I10" i="5" s="1"/>
  <c r="G8" i="5"/>
  <c r="I8" i="5" s="1"/>
  <c r="G4" i="5"/>
  <c r="I4" i="5" s="1"/>
  <c r="G5" i="5"/>
  <c r="I5" i="5" s="1"/>
  <c r="G6" i="5"/>
  <c r="I6" i="5" s="1"/>
  <c r="G7" i="5"/>
  <c r="I7" i="5" s="1"/>
  <c r="G3" i="5"/>
  <c r="I3" i="5" s="1"/>
  <c r="F9" i="3"/>
  <c r="H9" i="3" s="1"/>
  <c r="D9" i="3"/>
  <c r="F7" i="3"/>
  <c r="H7" i="3" s="1"/>
  <c r="F6" i="3"/>
  <c r="H6" i="3" s="1"/>
  <c r="F5" i="3"/>
  <c r="H5" i="3" s="1"/>
  <c r="H8" i="2"/>
  <c r="K8" i="2" s="1"/>
  <c r="K7" i="2"/>
  <c r="K6" i="2"/>
  <c r="K5" i="2"/>
  <c r="K4" i="2"/>
  <c r="J7" i="2"/>
  <c r="J6" i="2"/>
  <c r="J5" i="2"/>
  <c r="J4" i="2"/>
  <c r="E8" i="2"/>
  <c r="F8" i="2" s="1"/>
  <c r="G8" i="2" s="1"/>
  <c r="G8" i="3" l="1"/>
  <c r="P4" i="5"/>
  <c r="O4" i="5"/>
  <c r="O8" i="5"/>
  <c r="P8" i="5"/>
  <c r="Q8" i="5"/>
  <c r="O10" i="5"/>
  <c r="P10" i="5"/>
  <c r="Q10" i="5"/>
  <c r="Q14" i="5"/>
  <c r="O14" i="5"/>
  <c r="R14" i="5" s="1"/>
  <c r="P14" i="5"/>
  <c r="P6" i="5"/>
  <c r="O6" i="5"/>
  <c r="Q6" i="5"/>
  <c r="Q9" i="5"/>
  <c r="R9" i="5" s="1"/>
  <c r="P3" i="5"/>
  <c r="Q3" i="5"/>
  <c r="O3" i="5"/>
  <c r="Q11" i="5"/>
  <c r="O11" i="5"/>
  <c r="P11" i="5"/>
  <c r="O7" i="5"/>
  <c r="P7" i="5"/>
  <c r="Q7" i="5"/>
  <c r="P12" i="5"/>
  <c r="Q12" i="5"/>
  <c r="O12" i="5"/>
  <c r="R12" i="5" s="1"/>
  <c r="Q13" i="5"/>
  <c r="R13" i="5" s="1"/>
  <c r="Q5" i="5"/>
  <c r="R5" i="5" s="1"/>
  <c r="Q15" i="5"/>
  <c r="P15" i="5"/>
  <c r="Q4" i="5"/>
  <c r="F15" i="3"/>
  <c r="F12" i="3"/>
  <c r="G9" i="3"/>
  <c r="F13" i="3"/>
  <c r="F14" i="3"/>
  <c r="J8" i="2"/>
  <c r="D5" i="3"/>
  <c r="D6" i="3"/>
  <c r="G6" i="3" s="1"/>
  <c r="D7" i="3"/>
  <c r="G7" i="3" s="1"/>
  <c r="E4" i="2"/>
  <c r="F4" i="2" s="1"/>
  <c r="G4" i="2" s="1"/>
  <c r="J12" i="3" s="1"/>
  <c r="E5" i="2"/>
  <c r="F5" i="2" s="1"/>
  <c r="G5" i="2" s="1"/>
  <c r="J13" i="3" s="1"/>
  <c r="E6" i="2"/>
  <c r="F6" i="2" s="1"/>
  <c r="G6" i="2" s="1"/>
  <c r="J14" i="3" s="1"/>
  <c r="E7" i="2"/>
  <c r="F7" i="2" s="1"/>
  <c r="G7" i="2" s="1"/>
  <c r="J15" i="3" s="1"/>
  <c r="R10" i="5" l="1"/>
  <c r="R7" i="5"/>
  <c r="R6" i="5"/>
  <c r="R11" i="5"/>
  <c r="R8" i="5"/>
  <c r="R4" i="5"/>
  <c r="R3" i="5"/>
  <c r="G5" i="3"/>
  <c r="H14" i="3" s="1"/>
  <c r="K14" i="3" s="1"/>
  <c r="K11" i="1"/>
  <c r="K6" i="1"/>
  <c r="J6" i="1"/>
  <c r="I6" i="1"/>
  <c r="F6" i="1"/>
  <c r="E6" i="1"/>
  <c r="D6" i="1"/>
  <c r="K4" i="1"/>
  <c r="I4" i="1"/>
  <c r="F4" i="1"/>
  <c r="E4" i="1"/>
  <c r="D4" i="1"/>
  <c r="K7" i="1"/>
  <c r="K2" i="1"/>
  <c r="M7" i="1"/>
  <c r="A5" i="1"/>
  <c r="H5" i="1" s="1"/>
  <c r="J2" i="1"/>
  <c r="H13" i="3" l="1"/>
  <c r="K13" i="3" s="1"/>
  <c r="H12" i="3"/>
  <c r="K12" i="3" s="1"/>
  <c r="H15" i="3"/>
  <c r="K15" i="3" s="1"/>
  <c r="E8" i="1"/>
  <c r="H8" i="1" s="1"/>
  <c r="J5" i="1"/>
  <c r="K8" i="1"/>
  <c r="I5" i="1"/>
  <c r="D8" i="1"/>
  <c r="F8" i="1"/>
  <c r="G5" i="1"/>
  <c r="G8" i="1" l="1"/>
  <c r="J8" i="1" s="1"/>
  <c r="I8" i="1" l="1"/>
</calcChain>
</file>

<file path=xl/sharedStrings.xml><?xml version="1.0" encoding="utf-8"?>
<sst xmlns="http://schemas.openxmlformats.org/spreadsheetml/2006/main" count="125" uniqueCount="93">
  <si>
    <t>elec</t>
  </si>
  <si>
    <t>min</t>
  </si>
  <si>
    <t>food</t>
  </si>
  <si>
    <t>consum</t>
  </si>
  <si>
    <t>alloy</t>
  </si>
  <si>
    <t>unity</t>
  </si>
  <si>
    <t>sci</t>
  </si>
  <si>
    <t>designation?</t>
  </si>
  <si>
    <t>gene mod?</t>
  </si>
  <si>
    <t>trade</t>
  </si>
  <si>
    <t>others</t>
  </si>
  <si>
    <t>base output</t>
  </si>
  <si>
    <t>base upkeep</t>
  </si>
  <si>
    <t>out</t>
  </si>
  <si>
    <t>upkeep</t>
  </si>
  <si>
    <t>xenophile</t>
  </si>
  <si>
    <t>gala comm</t>
  </si>
  <si>
    <t>tradition</t>
  </si>
  <si>
    <t>\</t>
  </si>
  <si>
    <t>output/job</t>
  </si>
  <si>
    <t>trading benefits</t>
  </si>
  <si>
    <t>L</t>
  </si>
  <si>
    <t>Battleship</t>
  </si>
  <si>
    <t>M</t>
  </si>
  <si>
    <t>Cruiser</t>
  </si>
  <si>
    <t>S</t>
  </si>
  <si>
    <t>Destroyer</t>
  </si>
  <si>
    <t>Corvette</t>
  </si>
  <si>
    <t>Result</t>
  </si>
  <si>
    <t>Multiplier</t>
  </si>
  <si>
    <t>Total hitpoints</t>
  </si>
  <si>
    <t>Total armor / shield</t>
  </si>
  <si>
    <t>Unit armor / shield</t>
  </si>
  <si>
    <t>Slot type</t>
  </si>
  <si>
    <t>Small slot equivalent</t>
  </si>
  <si>
    <t>Base hull</t>
  </si>
  <si>
    <t>Hitpoint</t>
  </si>
  <si>
    <t>Overall score</t>
  </si>
  <si>
    <t>hitpoints</t>
  </si>
  <si>
    <t>Output score</t>
  </si>
  <si>
    <t>Total efficiency</t>
  </si>
  <si>
    <t># of L</t>
  </si>
  <si>
    <t># of M</t>
  </si>
  <si>
    <t># of S</t>
  </si>
  <si>
    <t>Efficiency</t>
  </si>
  <si>
    <t>Hitrate</t>
  </si>
  <si>
    <t>Tracking</t>
  </si>
  <si>
    <t>Damage per L</t>
  </si>
  <si>
    <t>Damage</t>
  </si>
  <si>
    <t xml:space="preserve">Against </t>
  </si>
  <si>
    <t>Def Plat</t>
  </si>
  <si>
    <t>alloy cost</t>
  </si>
  <si>
    <t>Size</t>
  </si>
  <si>
    <t>Gauss Cannon</t>
  </si>
  <si>
    <t>evasion.</t>
  </si>
  <si>
    <t>"hitrate" refers to post-tracking, post-evasion, and pre-accuracy</t>
  </si>
  <si>
    <t>Stellaris version 3.4</t>
  </si>
  <si>
    <t>Efficiency per L</t>
  </si>
  <si>
    <t>Conclusion</t>
  </si>
  <si>
    <t>X</t>
  </si>
  <si>
    <t># of X</t>
  </si>
  <si>
    <t>M, X &gt; S, L</t>
  </si>
  <si>
    <t>Laser</t>
  </si>
  <si>
    <t>Plasma</t>
  </si>
  <si>
    <t>Phase</t>
  </si>
  <si>
    <t>Kinetic</t>
  </si>
  <si>
    <t>Mining</t>
  </si>
  <si>
    <t>Lance</t>
  </si>
  <si>
    <t>Arc</t>
  </si>
  <si>
    <t>Giga</t>
  </si>
  <si>
    <t>Gauss</t>
  </si>
  <si>
    <t>Neutron</t>
  </si>
  <si>
    <t>Cloud</t>
  </si>
  <si>
    <t>Stormfire</t>
  </si>
  <si>
    <t>Siphon</t>
  </si>
  <si>
    <t>Acc</t>
  </si>
  <si>
    <t>M DPS</t>
  </si>
  <si>
    <t>S DPS</t>
  </si>
  <si>
    <t>L DPS</t>
  </si>
  <si>
    <t>X DPS</t>
  </si>
  <si>
    <t>Shield</t>
  </si>
  <si>
    <t>Armor</t>
  </si>
  <si>
    <t>Hull</t>
  </si>
  <si>
    <t>L-eq. DPS</t>
  </si>
  <si>
    <t>Track adj.</t>
  </si>
  <si>
    <t>ADPS</t>
  </si>
  <si>
    <t xml:space="preserve">However, overkill weakens X. </t>
  </si>
  <si>
    <t>Assume 2:1:1</t>
  </si>
  <si>
    <t>Assume 1:1:1</t>
  </si>
  <si>
    <t>L2</t>
  </si>
  <si>
    <t>H</t>
  </si>
  <si>
    <t xml:space="preserve">Conclusion: Plasma is dominated by Laser. </t>
  </si>
  <si>
    <t>X &gt; L2 &gt; stormfire &gt;= M &gt;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</si>
</sst>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9" fontId="2" fillId="2" borderId="0" xfId="0" applyNumberFormat="1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9" fontId="2" fillId="2" borderId="2" xfId="0" applyNumberFormat="1" applyFont="1" applyFill="1" applyBorder="1"/>
    <xf numFmtId="164" fontId="2" fillId="2" borderId="2" xfId="0" applyNumberFormat="1" applyFont="1" applyFill="1" applyBorder="1"/>
    <xf numFmtId="0" fontId="1" fillId="2" borderId="2" xfId="0" applyFont="1" applyFill="1" applyBorder="1" applyAlignment="1">
      <alignment wrapText="1"/>
    </xf>
    <xf numFmtId="1" fontId="2" fillId="2" borderId="2" xfId="0" applyNumberFormat="1" applyFont="1" applyFill="1" applyBorder="1"/>
    <xf numFmtId="0" fontId="2" fillId="2" borderId="2" xfId="0" applyNumberFormat="1" applyFont="1" applyFill="1" applyBorder="1"/>
    <xf numFmtId="9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627-8454-4ED1-9127-772A1034E4F2}">
  <dimension ref="A1"/>
  <sheetViews>
    <sheetView zoomScale="287" zoomScaleNormal="287" workbookViewId="0">
      <selection activeCell="A2" sqref="A2"/>
    </sheetView>
  </sheetViews>
  <sheetFormatPr defaultRowHeight="14.5" x14ac:dyDescent="0.35"/>
  <sheetData>
    <row r="1" spans="1:1" x14ac:dyDescent="0.35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="190" zoomScaleNormal="190" workbookViewId="0">
      <selection activeCell="G8" sqref="G8"/>
    </sheetView>
  </sheetViews>
  <sheetFormatPr defaultRowHeight="14.5" x14ac:dyDescent="0.35"/>
  <cols>
    <col min="1" max="1" width="1.81640625" style="1" bestFit="1" customWidth="1"/>
    <col min="2" max="2" width="11.26953125" style="1" bestFit="1" customWidth="1"/>
    <col min="3" max="3" width="7" style="1" bestFit="1" customWidth="1"/>
    <col min="4" max="6" width="4.90625" style="1" bestFit="1" customWidth="1"/>
    <col min="7" max="7" width="7.453125" style="1" bestFit="1" customWidth="1"/>
    <col min="8" max="8" width="4.90625" style="1" bestFit="1" customWidth="1"/>
    <col min="9" max="10" width="6.1796875" style="1" customWidth="1"/>
    <col min="11" max="11" width="5.36328125" style="1" bestFit="1" customWidth="1"/>
    <col min="12" max="12" width="2.6328125" style="1" customWidth="1"/>
    <col min="13" max="16384" width="8.7265625" style="1"/>
  </cols>
  <sheetData>
    <row r="1" spans="1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</v>
      </c>
    </row>
    <row r="2" spans="1:15" x14ac:dyDescent="0.35">
      <c r="B2" s="1" t="s">
        <v>11</v>
      </c>
      <c r="D2" s="1">
        <v>6</v>
      </c>
      <c r="E2" s="1">
        <v>4</v>
      </c>
      <c r="F2" s="1">
        <v>6</v>
      </c>
      <c r="G2" s="1">
        <v>6</v>
      </c>
      <c r="H2" s="1">
        <v>3</v>
      </c>
      <c r="I2" s="1">
        <v>4</v>
      </c>
      <c r="J2" s="1">
        <f>3*4</f>
        <v>12</v>
      </c>
      <c r="K2" s="1">
        <f>4+1</f>
        <v>5</v>
      </c>
    </row>
    <row r="3" spans="1:15" x14ac:dyDescent="0.35">
      <c r="B3" s="1" t="s">
        <v>12</v>
      </c>
      <c r="D3" s="1" t="s">
        <v>18</v>
      </c>
      <c r="E3" s="1" t="s">
        <v>18</v>
      </c>
      <c r="F3" s="1" t="s">
        <v>18</v>
      </c>
      <c r="G3" s="1">
        <v>6</v>
      </c>
      <c r="H3" s="1">
        <v>6</v>
      </c>
      <c r="I3" s="1">
        <v>2</v>
      </c>
      <c r="J3" s="1">
        <v>2</v>
      </c>
      <c r="K3" s="1" t="s">
        <v>18</v>
      </c>
    </row>
    <row r="4" spans="1:15" x14ac:dyDescent="0.35">
      <c r="A4" s="2">
        <v>1</v>
      </c>
      <c r="B4" s="1" t="s">
        <v>7</v>
      </c>
      <c r="C4" s="1" t="s">
        <v>13</v>
      </c>
      <c r="D4" s="4">
        <f>0.25*$A4</f>
        <v>0.25</v>
      </c>
      <c r="E4" s="4">
        <f>0.25*$A4</f>
        <v>0.25</v>
      </c>
      <c r="F4" s="4">
        <f>0.25*$A4</f>
        <v>0.25</v>
      </c>
      <c r="G4" s="4">
        <v>0</v>
      </c>
      <c r="H4" s="4">
        <v>0</v>
      </c>
      <c r="I4" s="4">
        <f>0.1*$A4</f>
        <v>0.1</v>
      </c>
      <c r="J4" s="4">
        <v>0</v>
      </c>
      <c r="K4" s="4">
        <f>0.2*$A4</f>
        <v>0.2</v>
      </c>
    </row>
    <row r="5" spans="1:15" x14ac:dyDescent="0.35">
      <c r="A5" s="1">
        <f>A4</f>
        <v>1</v>
      </c>
      <c r="C5" s="1" t="s">
        <v>14</v>
      </c>
      <c r="D5" s="4" t="s">
        <v>18</v>
      </c>
      <c r="E5" s="4" t="s">
        <v>18</v>
      </c>
      <c r="F5" s="4" t="s">
        <v>18</v>
      </c>
      <c r="G5" s="4">
        <f>-0.2*$A5</f>
        <v>-0.2</v>
      </c>
      <c r="H5" s="4">
        <f>-0.2*$A5</f>
        <v>-0.2</v>
      </c>
      <c r="I5" s="4">
        <f>-0.1*$A5</f>
        <v>-0.1</v>
      </c>
      <c r="J5" s="4">
        <f>-0.2*$A5</f>
        <v>-0.2</v>
      </c>
      <c r="K5" s="4" t="s">
        <v>18</v>
      </c>
    </row>
    <row r="6" spans="1:15" x14ac:dyDescent="0.35">
      <c r="A6" s="2">
        <v>1</v>
      </c>
      <c r="B6" s="1" t="s">
        <v>8</v>
      </c>
      <c r="D6" s="4">
        <f>0.15*$A6</f>
        <v>0.15</v>
      </c>
      <c r="E6" s="4">
        <f>0.15*$A6</f>
        <v>0.15</v>
      </c>
      <c r="F6" s="4">
        <f>0.15*$A6</f>
        <v>0.15</v>
      </c>
      <c r="G6" s="4">
        <v>0</v>
      </c>
      <c r="H6" s="4">
        <v>0</v>
      </c>
      <c r="I6" s="4">
        <f>0.1*$A6</f>
        <v>0.1</v>
      </c>
      <c r="J6" s="4">
        <f>0.1*$A6</f>
        <v>0.1</v>
      </c>
      <c r="K6" s="4">
        <f>0.25*$A6</f>
        <v>0.25</v>
      </c>
      <c r="M6" s="1" t="s">
        <v>15</v>
      </c>
      <c r="N6" s="1" t="s">
        <v>16</v>
      </c>
      <c r="O6" s="1" t="s">
        <v>17</v>
      </c>
    </row>
    <row r="7" spans="1:15" ht="15" thickBot="1" x14ac:dyDescent="0.4">
      <c r="B7" s="1" t="s">
        <v>10</v>
      </c>
      <c r="D7" s="4"/>
      <c r="E7" s="4"/>
      <c r="F7" s="4"/>
      <c r="G7" s="4"/>
      <c r="H7" s="4"/>
      <c r="I7" s="4"/>
      <c r="J7" s="4"/>
      <c r="K7" s="4">
        <f>SUM(M7:O7)</f>
        <v>0.35</v>
      </c>
      <c r="M7" s="1">
        <f>0.2-0.1</f>
        <v>0.1</v>
      </c>
      <c r="N7" s="1">
        <v>0.15</v>
      </c>
      <c r="O7" s="1">
        <v>0.1</v>
      </c>
    </row>
    <row r="8" spans="1:15" ht="15" thickTop="1" x14ac:dyDescent="0.35">
      <c r="B8" s="3" t="s">
        <v>19</v>
      </c>
      <c r="C8" s="3"/>
      <c r="D8" s="3">
        <f>D2*(1+D4+D6)</f>
        <v>8.3999999999999986</v>
      </c>
      <c r="E8" s="3">
        <f>E2*(1+E4+E6)</f>
        <v>5.6</v>
      </c>
      <c r="F8" s="3">
        <f>F2*(1+F4+F6)</f>
        <v>8.3999999999999986</v>
      </c>
      <c r="G8" s="3">
        <f>G2*(1+G4+G6)/(1+G3*(1+G5)/$E$8)</f>
        <v>3.2307692307692308</v>
      </c>
      <c r="H8" s="3">
        <f>H2*(1+H4+H6)/(1+H3*(1+H5)/$E$8)</f>
        <v>1.6153846153846154</v>
      </c>
      <c r="I8" s="3">
        <f>I2*(1+I4+I6)/(1+I3*(1+I5)/$G$8)</f>
        <v>3.0825688073394502</v>
      </c>
      <c r="J8" s="3">
        <f>J2*(1+J4+J6)/(1+J3*(1+J5)/$G$8)</f>
        <v>8.8280254777070066</v>
      </c>
      <c r="K8" s="3">
        <f>K2*(1+K4+K6+K7)</f>
        <v>9</v>
      </c>
    </row>
    <row r="11" spans="1:15" x14ac:dyDescent="0.35">
      <c r="K11" s="1">
        <f>K8*0.5/D8+K8*0.25/I8</f>
        <v>1.265625</v>
      </c>
      <c r="M11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0C1-1C1D-4DD8-B1EE-CF40DAADDC0B}">
  <dimension ref="A1:K8"/>
  <sheetViews>
    <sheetView zoomScale="186" zoomScaleNormal="182" workbookViewId="0">
      <selection activeCell="F4" sqref="F4"/>
    </sheetView>
  </sheetViews>
  <sheetFormatPr defaultRowHeight="14.5" x14ac:dyDescent="0.35"/>
  <cols>
    <col min="1" max="1" width="9.08984375" style="5" bestFit="1" customWidth="1"/>
    <col min="2" max="2" width="4.90625" style="5" bestFit="1" customWidth="1"/>
    <col min="3" max="3" width="9.453125" style="5" customWidth="1"/>
    <col min="4" max="4" width="4.453125" style="5" bestFit="1" customWidth="1"/>
    <col min="5" max="5" width="10" style="5" customWidth="1"/>
    <col min="6" max="7" width="8.7265625" style="5"/>
    <col min="8" max="8" width="5.90625" style="5" bestFit="1" customWidth="1"/>
    <col min="9" max="10" width="8.6328125" style="5" customWidth="1"/>
    <col min="11" max="11" width="5.90625" style="5" bestFit="1" customWidth="1"/>
    <col min="12" max="16384" width="8.7265625" style="5"/>
  </cols>
  <sheetData>
    <row r="1" spans="1:11" x14ac:dyDescent="0.35">
      <c r="A1" s="5" t="s">
        <v>36</v>
      </c>
    </row>
    <row r="3" spans="1:11" s="6" customFormat="1" ht="43.5" x14ac:dyDescent="0.35">
      <c r="B3" s="6" t="s">
        <v>35</v>
      </c>
      <c r="C3" s="6" t="s">
        <v>34</v>
      </c>
      <c r="D3" s="6" t="s">
        <v>33</v>
      </c>
      <c r="E3" s="6" t="s">
        <v>32</v>
      </c>
      <c r="F3" s="6" t="s">
        <v>31</v>
      </c>
      <c r="G3" s="6" t="s">
        <v>30</v>
      </c>
      <c r="H3" s="6" t="s">
        <v>52</v>
      </c>
      <c r="I3" s="6" t="s">
        <v>51</v>
      </c>
      <c r="K3" s="6" t="s">
        <v>28</v>
      </c>
    </row>
    <row r="4" spans="1:11" x14ac:dyDescent="0.35">
      <c r="A4" s="5" t="s">
        <v>27</v>
      </c>
      <c r="B4" s="5">
        <v>300</v>
      </c>
      <c r="C4" s="5">
        <v>3</v>
      </c>
      <c r="D4" s="5" t="s">
        <v>25</v>
      </c>
      <c r="E4" s="5">
        <f>IF(D4="S", 85, IF(D4="M", 215/2, 510/4))</f>
        <v>85</v>
      </c>
      <c r="F4" s="5">
        <f>E4*C4</f>
        <v>255</v>
      </c>
      <c r="G4" s="5">
        <f>F4+B4</f>
        <v>555</v>
      </c>
      <c r="H4" s="5">
        <v>1</v>
      </c>
      <c r="I4" s="5">
        <v>210</v>
      </c>
      <c r="J4" s="5">
        <f>I4/H4</f>
        <v>210</v>
      </c>
      <c r="K4" s="10">
        <f>G4/H4</f>
        <v>555</v>
      </c>
    </row>
    <row r="5" spans="1:11" x14ac:dyDescent="0.35">
      <c r="A5" s="5" t="s">
        <v>26</v>
      </c>
      <c r="B5" s="5">
        <v>800</v>
      </c>
      <c r="C5" s="5">
        <v>6</v>
      </c>
      <c r="D5" s="5" t="s">
        <v>25</v>
      </c>
      <c r="E5" s="5">
        <f>IF(D5="S", 85, IF(D5="M", 215/2, 510/4))</f>
        <v>85</v>
      </c>
      <c r="F5" s="5">
        <f>E5*C5</f>
        <v>510</v>
      </c>
      <c r="G5" s="5">
        <f>F5+B5</f>
        <v>1310</v>
      </c>
      <c r="H5" s="5">
        <v>2</v>
      </c>
      <c r="I5" s="5">
        <v>360</v>
      </c>
      <c r="J5" s="5">
        <f>I5/H5</f>
        <v>180</v>
      </c>
      <c r="K5" s="10">
        <f>G5/H5</f>
        <v>655</v>
      </c>
    </row>
    <row r="6" spans="1:11" x14ac:dyDescent="0.35">
      <c r="A6" s="5" t="s">
        <v>24</v>
      </c>
      <c r="B6" s="5">
        <v>1800</v>
      </c>
      <c r="C6" s="5">
        <v>16</v>
      </c>
      <c r="D6" s="5" t="s">
        <v>23</v>
      </c>
      <c r="E6" s="5">
        <f>IF(D6="S", 85, IF(D6="M", 215/2, 510/4))</f>
        <v>107.5</v>
      </c>
      <c r="F6" s="5">
        <f>E6*C6</f>
        <v>1720</v>
      </c>
      <c r="G6" s="5">
        <f>F6+B6</f>
        <v>3520</v>
      </c>
      <c r="H6" s="5">
        <v>4</v>
      </c>
      <c r="I6" s="5">
        <v>800</v>
      </c>
      <c r="J6" s="5">
        <f>I6/H6</f>
        <v>200</v>
      </c>
      <c r="K6" s="10">
        <f>G6/H6</f>
        <v>880</v>
      </c>
    </row>
    <row r="7" spans="1:11" x14ac:dyDescent="0.35">
      <c r="A7" s="5" t="s">
        <v>22</v>
      </c>
      <c r="B7" s="5">
        <v>3000</v>
      </c>
      <c r="C7" s="5">
        <v>24</v>
      </c>
      <c r="D7" s="5" t="s">
        <v>21</v>
      </c>
      <c r="E7" s="5">
        <f>IF(D7="S", 85, IF(D7="M", 215/2, 510/4))</f>
        <v>127.5</v>
      </c>
      <c r="F7" s="5">
        <f>E7*C7</f>
        <v>3060</v>
      </c>
      <c r="G7" s="5">
        <f>F7+B7</f>
        <v>6060</v>
      </c>
      <c r="H7" s="5">
        <v>8</v>
      </c>
      <c r="I7" s="5">
        <v>1400</v>
      </c>
      <c r="J7" s="5">
        <f>I7/H7</f>
        <v>175</v>
      </c>
      <c r="K7" s="10">
        <f>G7/H7</f>
        <v>757.5</v>
      </c>
    </row>
    <row r="8" spans="1:11" x14ac:dyDescent="0.35">
      <c r="A8" s="5" t="s">
        <v>50</v>
      </c>
      <c r="B8" s="5">
        <v>2000</v>
      </c>
      <c r="C8" s="5">
        <v>12</v>
      </c>
      <c r="D8" s="5" t="s">
        <v>23</v>
      </c>
      <c r="E8" s="5">
        <f>IF(D8="S", 85, IF(D8="M", 215/2, 510/4))</f>
        <v>107.5</v>
      </c>
      <c r="F8" s="5">
        <f>E8*C8</f>
        <v>1290</v>
      </c>
      <c r="G8" s="5">
        <f>F8+B8</f>
        <v>3290</v>
      </c>
      <c r="H8" s="5">
        <f>I8/J8</f>
        <v>2.6143790849673203</v>
      </c>
      <c r="I8" s="5">
        <v>500</v>
      </c>
      <c r="J8" s="5">
        <f>AVERAGE(J4:J7)</f>
        <v>191.25</v>
      </c>
      <c r="K8" s="10">
        <f>G8/H8</f>
        <v>1258.425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B068-31C0-4426-AB5A-2A80DBBAF44F}">
  <dimension ref="A1:K20"/>
  <sheetViews>
    <sheetView topLeftCell="A4" zoomScale="170" workbookViewId="0">
      <selection activeCell="G8" sqref="G8"/>
    </sheetView>
  </sheetViews>
  <sheetFormatPr defaultRowHeight="14.5" x14ac:dyDescent="0.35"/>
  <cols>
    <col min="1" max="1" width="8.7265625" style="5"/>
    <col min="2" max="2" width="7.6328125" style="5" bestFit="1" customWidth="1"/>
    <col min="3" max="3" width="8.90625" style="5" bestFit="1" customWidth="1"/>
    <col min="4" max="4" width="7.6328125" style="5" bestFit="1" customWidth="1"/>
    <col min="5" max="5" width="8.6328125" style="5" bestFit="1" customWidth="1"/>
    <col min="6" max="16384" width="8.7265625" style="5"/>
  </cols>
  <sheetData>
    <row r="1" spans="1:11" x14ac:dyDescent="0.35">
      <c r="A1" s="5" t="s">
        <v>49</v>
      </c>
      <c r="B1" s="7">
        <v>0.1</v>
      </c>
      <c r="C1" s="5" t="s">
        <v>54</v>
      </c>
    </row>
    <row r="2" spans="1:11" x14ac:dyDescent="0.35">
      <c r="B2" s="7"/>
    </row>
    <row r="3" spans="1:11" x14ac:dyDescent="0.35">
      <c r="A3" s="5" t="s">
        <v>55</v>
      </c>
    </row>
    <row r="4" spans="1:11" s="6" customFormat="1" ht="29" x14ac:dyDescent="0.35">
      <c r="A4" s="6" t="s">
        <v>53</v>
      </c>
      <c r="B4" s="6" t="s">
        <v>48</v>
      </c>
      <c r="C4" s="6" t="s">
        <v>29</v>
      </c>
      <c r="D4" s="6" t="s">
        <v>47</v>
      </c>
      <c r="E4" s="6" t="s">
        <v>46</v>
      </c>
      <c r="F4" s="6" t="s">
        <v>45</v>
      </c>
      <c r="G4" s="6" t="s">
        <v>57</v>
      </c>
      <c r="H4" s="6" t="s">
        <v>44</v>
      </c>
    </row>
    <row r="5" spans="1:11" x14ac:dyDescent="0.35">
      <c r="A5" s="5" t="s">
        <v>25</v>
      </c>
      <c r="B5" s="5">
        <v>6.52</v>
      </c>
      <c r="C5" s="5">
        <v>4</v>
      </c>
      <c r="D5" s="5">
        <f>B5*C5</f>
        <v>26.08</v>
      </c>
      <c r="E5" s="7">
        <v>0.5</v>
      </c>
      <c r="F5" s="8">
        <f>MIN(1, 1-($B$1-E5))</f>
        <v>1</v>
      </c>
      <c r="G5" s="5">
        <f>F5*D5</f>
        <v>26.08</v>
      </c>
      <c r="H5" s="5">
        <f>F5*B5</f>
        <v>6.52</v>
      </c>
    </row>
    <row r="6" spans="1:11" x14ac:dyDescent="0.35">
      <c r="A6" s="5" t="s">
        <v>23</v>
      </c>
      <c r="B6" s="5">
        <v>16.3</v>
      </c>
      <c r="C6" s="5">
        <v>2</v>
      </c>
      <c r="D6" s="5">
        <f>B6*C6</f>
        <v>32.6</v>
      </c>
      <c r="E6" s="7">
        <v>0.3</v>
      </c>
      <c r="F6" s="8">
        <f>MIN(1, 1-($B$1-E6))</f>
        <v>1</v>
      </c>
      <c r="G6" s="5">
        <f>F6*D6</f>
        <v>32.6</v>
      </c>
      <c r="H6" s="5">
        <f>F6*B6</f>
        <v>16.3</v>
      </c>
    </row>
    <row r="7" spans="1:11" x14ac:dyDescent="0.35">
      <c r="A7" s="5" t="s">
        <v>21</v>
      </c>
      <c r="B7" s="5">
        <v>39.130000000000003</v>
      </c>
      <c r="C7" s="5">
        <v>1</v>
      </c>
      <c r="D7" s="5">
        <f>B7*C7</f>
        <v>39.130000000000003</v>
      </c>
      <c r="E7" s="7">
        <v>0.05</v>
      </c>
      <c r="F7" s="8">
        <f>MIN(1, 1-($B$1-E7))</f>
        <v>0.95</v>
      </c>
      <c r="G7" s="5">
        <f>F7*D7</f>
        <v>37.173500000000004</v>
      </c>
      <c r="H7" s="5">
        <f>F7*B7</f>
        <v>37.173500000000004</v>
      </c>
    </row>
    <row r="8" spans="1:11" x14ac:dyDescent="0.35">
      <c r="A8" s="5" t="s">
        <v>89</v>
      </c>
      <c r="B8" s="5">
        <v>45.7</v>
      </c>
      <c r="C8" s="5">
        <v>1</v>
      </c>
      <c r="D8" s="5">
        <f>B8*C8</f>
        <v>45.7</v>
      </c>
      <c r="E8" s="7">
        <v>0</v>
      </c>
      <c r="F8" s="8">
        <f>MIN(1, 1-($B$1-E8))</f>
        <v>0.9</v>
      </c>
      <c r="G8" s="5">
        <f>F8*D8</f>
        <v>41.13</v>
      </c>
      <c r="H8" s="5">
        <f>F8*B8</f>
        <v>41.13</v>
      </c>
    </row>
    <row r="9" spans="1:11" x14ac:dyDescent="0.35">
      <c r="A9" s="5" t="s">
        <v>59</v>
      </c>
      <c r="B9" s="5">
        <v>145.83000000000001</v>
      </c>
      <c r="C9" s="5">
        <v>0.5</v>
      </c>
      <c r="D9" s="5">
        <f>B9*C9</f>
        <v>72.915000000000006</v>
      </c>
      <c r="E9" s="7">
        <v>0</v>
      </c>
      <c r="F9" s="8">
        <f>MIN(1, 1-($B$1-E9))</f>
        <v>0.9</v>
      </c>
      <c r="G9" s="5">
        <f>F9*D9</f>
        <v>65.623500000000007</v>
      </c>
      <c r="H9" s="5">
        <f>F9*B9</f>
        <v>131.24700000000001</v>
      </c>
    </row>
    <row r="10" spans="1:11" s="9" customFormat="1" x14ac:dyDescent="0.35"/>
    <row r="11" spans="1:11" s="6" customFormat="1" ht="29" x14ac:dyDescent="0.35">
      <c r="B11" s="6" t="s">
        <v>43</v>
      </c>
      <c r="C11" s="6" t="s">
        <v>42</v>
      </c>
      <c r="D11" s="6" t="s">
        <v>41</v>
      </c>
      <c r="E11" s="6" t="s">
        <v>60</v>
      </c>
      <c r="F11" s="6" t="s">
        <v>40</v>
      </c>
      <c r="G11" s="6" t="s">
        <v>29</v>
      </c>
      <c r="H11" s="6" t="s">
        <v>39</v>
      </c>
      <c r="J11" s="6" t="s">
        <v>38</v>
      </c>
      <c r="K11" s="6" t="s">
        <v>37</v>
      </c>
    </row>
    <row r="12" spans="1:11" x14ac:dyDescent="0.35">
      <c r="A12" s="5" t="s">
        <v>27</v>
      </c>
      <c r="B12" s="5">
        <v>3</v>
      </c>
      <c r="C12" s="5">
        <v>0</v>
      </c>
      <c r="D12" s="5">
        <v>0</v>
      </c>
      <c r="E12" s="5">
        <v>0</v>
      </c>
      <c r="F12" s="5">
        <f>B12*$H$5+C12*$H$6+D12*$H$7+E12*$H$9</f>
        <v>19.559999999999999</v>
      </c>
      <c r="G12" s="5">
        <v>8</v>
      </c>
      <c r="H12" s="5">
        <f>G12*F12</f>
        <v>156.47999999999999</v>
      </c>
      <c r="J12" s="5">
        <f>Hitpoint!K4</f>
        <v>555</v>
      </c>
      <c r="K12" s="10">
        <f>J12*H12/2</f>
        <v>43423.199999999997</v>
      </c>
    </row>
    <row r="13" spans="1:11" x14ac:dyDescent="0.35">
      <c r="A13" s="5" t="s">
        <v>26</v>
      </c>
      <c r="B13" s="5">
        <v>2</v>
      </c>
      <c r="C13" s="5">
        <v>2</v>
      </c>
      <c r="D13" s="5">
        <v>0</v>
      </c>
      <c r="E13" s="5">
        <v>0</v>
      </c>
      <c r="F13" s="5">
        <f>B13*$H$5+C13*$H$6+D13*$H$7+E13*$H$9</f>
        <v>45.64</v>
      </c>
      <c r="G13" s="5">
        <v>4</v>
      </c>
      <c r="H13" s="5">
        <f>G13*F13</f>
        <v>182.56</v>
      </c>
      <c r="J13" s="5">
        <f>Hitpoint!K5</f>
        <v>655</v>
      </c>
      <c r="K13" s="10">
        <f>J13*H13/2</f>
        <v>59788.4</v>
      </c>
    </row>
    <row r="14" spans="1:11" x14ac:dyDescent="0.35">
      <c r="A14" s="5" t="s">
        <v>24</v>
      </c>
      <c r="B14" s="5">
        <v>0</v>
      </c>
      <c r="C14" s="5">
        <v>6</v>
      </c>
      <c r="D14" s="5">
        <v>0</v>
      </c>
      <c r="E14" s="5">
        <v>0</v>
      </c>
      <c r="F14" s="5">
        <f>B14*$H$5+C14*$H$6+D14*$H$7+E14*$H$9</f>
        <v>97.800000000000011</v>
      </c>
      <c r="G14" s="5">
        <v>2</v>
      </c>
      <c r="H14" s="5">
        <f>G14*F14</f>
        <v>195.60000000000002</v>
      </c>
      <c r="J14" s="5">
        <f>Hitpoint!K6</f>
        <v>880</v>
      </c>
      <c r="K14" s="10">
        <f>J14*H14/2</f>
        <v>86064.000000000015</v>
      </c>
    </row>
    <row r="15" spans="1:11" x14ac:dyDescent="0.35">
      <c r="A15" s="5" t="s">
        <v>22</v>
      </c>
      <c r="B15" s="5">
        <v>0</v>
      </c>
      <c r="C15" s="5">
        <v>4</v>
      </c>
      <c r="D15" s="5">
        <v>2</v>
      </c>
      <c r="E15" s="5">
        <v>1</v>
      </c>
      <c r="F15" s="5">
        <f>B15*$H$5+C15*$H$6+D15*$H$7+E15*$H$9</f>
        <v>270.79400000000004</v>
      </c>
      <c r="G15" s="5">
        <v>1</v>
      </c>
      <c r="H15" s="5">
        <f>G15*F15</f>
        <v>270.79400000000004</v>
      </c>
      <c r="J15" s="5">
        <f>Hitpoint!K7</f>
        <v>757.5</v>
      </c>
      <c r="K15" s="10">
        <f>J15*H15/2</f>
        <v>102563.22750000001</v>
      </c>
    </row>
    <row r="18" spans="1:1" x14ac:dyDescent="0.35">
      <c r="A18" s="5" t="s">
        <v>58</v>
      </c>
    </row>
    <row r="19" spans="1:1" x14ac:dyDescent="0.35">
      <c r="A19" s="5" t="s">
        <v>61</v>
      </c>
    </row>
    <row r="20" spans="1:1" x14ac:dyDescent="0.35">
      <c r="A20" s="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E9C-6529-49EB-BB97-78FEAFB44286}">
  <dimension ref="A2:S19"/>
  <sheetViews>
    <sheetView tabSelected="1" zoomScale="175" zoomScaleNormal="1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defaultRowHeight="14.5" x14ac:dyDescent="0.35"/>
  <cols>
    <col min="1" max="1" width="2.54296875" style="11" bestFit="1" customWidth="1"/>
    <col min="2" max="2" width="8.6328125" style="11" bestFit="1" customWidth="1"/>
    <col min="3" max="3" width="5.36328125" style="11" bestFit="1" customWidth="1"/>
    <col min="4" max="4" width="6.1796875" style="11" bestFit="1" customWidth="1"/>
    <col min="5" max="5" width="5.90625" style="11" bestFit="1" customWidth="1"/>
    <col min="6" max="6" width="7" style="11" bestFit="1" customWidth="1"/>
    <col min="7" max="7" width="8.54296875" style="11" bestFit="1" customWidth="1"/>
    <col min="8" max="8" width="5.36328125" style="7" bestFit="1" customWidth="1"/>
    <col min="9" max="9" width="5.36328125" style="11" customWidth="1"/>
    <col min="10" max="10" width="8.81640625" style="7" bestFit="1" customWidth="1"/>
    <col min="11" max="11" width="5.81640625" style="7" bestFit="1" customWidth="1"/>
    <col min="12" max="12" width="6.1796875" style="7" bestFit="1" customWidth="1"/>
    <col min="13" max="13" width="4.26953125" style="7" bestFit="1" customWidth="1"/>
    <col min="14" max="14" width="1.81640625" style="11" customWidth="1"/>
    <col min="15" max="15" width="5.81640625" style="10" bestFit="1" customWidth="1"/>
    <col min="16" max="16" width="6.1796875" style="10" bestFit="1" customWidth="1"/>
    <col min="17" max="17" width="4.08984375" style="10" bestFit="1" customWidth="1"/>
    <col min="18" max="19" width="11.90625" style="11" bestFit="1" customWidth="1"/>
    <col min="20" max="16384" width="8.7265625" style="11"/>
  </cols>
  <sheetData>
    <row r="2" spans="1:19" x14ac:dyDescent="0.35">
      <c r="C2" s="11" t="s">
        <v>77</v>
      </c>
      <c r="D2" s="11" t="s">
        <v>76</v>
      </c>
      <c r="E2" s="11" t="s">
        <v>78</v>
      </c>
      <c r="F2" s="11" t="s">
        <v>79</v>
      </c>
      <c r="G2" s="11" t="s">
        <v>83</v>
      </c>
      <c r="H2" s="7" t="s">
        <v>75</v>
      </c>
      <c r="I2" s="11" t="s">
        <v>85</v>
      </c>
      <c r="J2" s="7" t="s">
        <v>84</v>
      </c>
      <c r="K2" s="7" t="s">
        <v>80</v>
      </c>
      <c r="L2" s="7" t="s">
        <v>81</v>
      </c>
      <c r="M2" s="7" t="s">
        <v>82</v>
      </c>
      <c r="O2" s="10" t="s">
        <v>80</v>
      </c>
      <c r="P2" s="10" t="s">
        <v>81</v>
      </c>
      <c r="Q2" s="10" t="s">
        <v>82</v>
      </c>
      <c r="R2" s="11" t="s">
        <v>87</v>
      </c>
      <c r="S2" s="11" t="s">
        <v>88</v>
      </c>
    </row>
    <row r="3" spans="1:19" x14ac:dyDescent="0.35">
      <c r="A3" s="11" t="s">
        <v>23</v>
      </c>
      <c r="B3" s="11" t="s">
        <v>62</v>
      </c>
      <c r="D3" s="11">
        <v>15.45</v>
      </c>
      <c r="G3" s="11">
        <f>D3*2</f>
        <v>30.9</v>
      </c>
      <c r="H3" s="7">
        <v>0.9</v>
      </c>
      <c r="I3" s="11">
        <f>G3*H3</f>
        <v>27.81</v>
      </c>
      <c r="J3" s="7">
        <v>0</v>
      </c>
      <c r="K3" s="7">
        <v>-0.5</v>
      </c>
      <c r="L3" s="7">
        <v>0.5</v>
      </c>
      <c r="M3" s="7">
        <v>0</v>
      </c>
      <c r="O3" s="10">
        <f>$I3*(1+K3)</f>
        <v>13.904999999999999</v>
      </c>
      <c r="P3" s="10">
        <f t="shared" ref="P3:Q3" si="0">$I3*(1+L3)</f>
        <v>41.714999999999996</v>
      </c>
      <c r="Q3" s="10">
        <f t="shared" si="0"/>
        <v>27.81</v>
      </c>
      <c r="R3" s="10">
        <f>O3/2+P3/4+Q3/4</f>
        <v>24.333749999999998</v>
      </c>
      <c r="S3" s="10">
        <f>O3/3+P3/3+Q3/3</f>
        <v>27.81</v>
      </c>
    </row>
    <row r="4" spans="1:19" x14ac:dyDescent="0.35">
      <c r="A4" s="11" t="s">
        <v>23</v>
      </c>
      <c r="B4" s="11" t="s">
        <v>63</v>
      </c>
      <c r="D4" s="11">
        <v>12.15</v>
      </c>
      <c r="G4" s="11">
        <f t="shared" ref="G4:G7" si="1">D4*2</f>
        <v>24.3</v>
      </c>
      <c r="H4" s="7">
        <v>0.8</v>
      </c>
      <c r="I4" s="11">
        <f t="shared" ref="I4:I16" si="2">G4*H4</f>
        <v>19.440000000000001</v>
      </c>
      <c r="J4" s="7">
        <v>-0.1</v>
      </c>
      <c r="K4" s="7">
        <v>-0.75</v>
      </c>
      <c r="L4" s="7">
        <v>1</v>
      </c>
      <c r="M4" s="7">
        <v>0.5</v>
      </c>
      <c r="O4" s="10">
        <f>$I4*(1+K4)</f>
        <v>4.8600000000000003</v>
      </c>
      <c r="P4" s="10">
        <f>$I4*(1+L4)</f>
        <v>38.880000000000003</v>
      </c>
      <c r="Q4" s="10">
        <f>$I4*(1+M4)</f>
        <v>29.160000000000004</v>
      </c>
      <c r="R4" s="10">
        <f t="shared" ref="R4:R14" si="3">O4/2+P4/4+Q4/4</f>
        <v>19.440000000000001</v>
      </c>
      <c r="S4" s="10">
        <f t="shared" ref="S4:S15" si="4">O4/3+P4/3+Q4/3</f>
        <v>24.300000000000004</v>
      </c>
    </row>
    <row r="5" spans="1:19" x14ac:dyDescent="0.35">
      <c r="A5" s="11" t="s">
        <v>23</v>
      </c>
      <c r="B5" s="11" t="s">
        <v>64</v>
      </c>
      <c r="D5" s="11">
        <v>6.22</v>
      </c>
      <c r="G5" s="11">
        <f t="shared" si="1"/>
        <v>12.44</v>
      </c>
      <c r="H5" s="7">
        <v>1</v>
      </c>
      <c r="I5" s="11">
        <f t="shared" si="2"/>
        <v>12.44</v>
      </c>
      <c r="J5" s="7">
        <v>0.05</v>
      </c>
      <c r="M5" s="7">
        <v>0</v>
      </c>
      <c r="Q5" s="10">
        <f>$I5*(1+M5)</f>
        <v>12.44</v>
      </c>
      <c r="R5" s="10">
        <f>Q5*2</f>
        <v>24.88</v>
      </c>
      <c r="S5" s="10">
        <f>Q5*3</f>
        <v>37.32</v>
      </c>
    </row>
    <row r="6" spans="1:19" x14ac:dyDescent="0.35">
      <c r="A6" s="11" t="s">
        <v>23</v>
      </c>
      <c r="B6" s="11" t="s">
        <v>70</v>
      </c>
      <c r="D6" s="11">
        <v>16.3</v>
      </c>
      <c r="G6" s="11">
        <f t="shared" si="1"/>
        <v>32.6</v>
      </c>
      <c r="H6" s="7">
        <v>0.75</v>
      </c>
      <c r="I6" s="11">
        <f t="shared" si="2"/>
        <v>24.450000000000003</v>
      </c>
      <c r="J6" s="7">
        <v>0</v>
      </c>
      <c r="K6" s="7">
        <v>0.5</v>
      </c>
      <c r="L6" s="7">
        <v>-0.5</v>
      </c>
      <c r="M6" s="7">
        <v>0</v>
      </c>
      <c r="O6" s="10">
        <f>$I6*(1+K6)</f>
        <v>36.675000000000004</v>
      </c>
      <c r="P6" s="10">
        <f>$I6*(1+L6)</f>
        <v>12.225000000000001</v>
      </c>
      <c r="Q6" s="10">
        <f>$I6*(1+M6)</f>
        <v>24.450000000000003</v>
      </c>
      <c r="R6" s="10">
        <f t="shared" si="3"/>
        <v>27.506250000000005</v>
      </c>
      <c r="S6" s="10">
        <f t="shared" si="4"/>
        <v>24.450000000000003</v>
      </c>
    </row>
    <row r="7" spans="1:19" hidden="1" x14ac:dyDescent="0.35">
      <c r="B7" s="11" t="s">
        <v>66</v>
      </c>
      <c r="D7" s="11">
        <v>6.82</v>
      </c>
      <c r="G7" s="11">
        <f t="shared" si="1"/>
        <v>13.64</v>
      </c>
      <c r="H7" s="7">
        <v>0.7</v>
      </c>
      <c r="I7" s="11">
        <f t="shared" si="2"/>
        <v>9.548</v>
      </c>
      <c r="J7" s="7">
        <v>-0.1</v>
      </c>
      <c r="K7" s="7">
        <v>-0.5</v>
      </c>
      <c r="L7" s="7">
        <v>0.25</v>
      </c>
      <c r="M7" s="7">
        <v>0.75</v>
      </c>
      <c r="O7" s="10">
        <f>$I7*(1+K7)</f>
        <v>4.774</v>
      </c>
      <c r="P7" s="10">
        <f>$I7*(1+L7)</f>
        <v>11.935</v>
      </c>
      <c r="Q7" s="10">
        <f>$I7*(1+M7)</f>
        <v>16.709</v>
      </c>
      <c r="R7" s="10">
        <f t="shared" si="3"/>
        <v>9.548</v>
      </c>
      <c r="S7" s="10">
        <f t="shared" si="4"/>
        <v>11.139333333333333</v>
      </c>
    </row>
    <row r="8" spans="1:19" x14ac:dyDescent="0.35">
      <c r="A8" s="11" t="s">
        <v>59</v>
      </c>
      <c r="B8" s="11" t="s">
        <v>67</v>
      </c>
      <c r="F8" s="11">
        <v>148.75</v>
      </c>
      <c r="G8" s="11">
        <f>F8/2</f>
        <v>74.375</v>
      </c>
      <c r="H8" s="7">
        <v>0.85</v>
      </c>
      <c r="I8" s="11">
        <f t="shared" si="2"/>
        <v>63.21875</v>
      </c>
      <c r="J8" s="7">
        <v>-0.05</v>
      </c>
      <c r="K8" s="7">
        <v>-0.5</v>
      </c>
      <c r="L8" s="7">
        <v>1</v>
      </c>
      <c r="M8" s="7">
        <v>0.5</v>
      </c>
      <c r="O8" s="10">
        <f>$I8*(1+K8)</f>
        <v>31.609375</v>
      </c>
      <c r="P8" s="10">
        <f>$I8*(1+L8)</f>
        <v>126.4375</v>
      </c>
      <c r="Q8" s="10">
        <f>$I8*(1+M8)</f>
        <v>94.828125</v>
      </c>
      <c r="R8" s="10">
        <f t="shared" si="3"/>
        <v>71.12109375</v>
      </c>
      <c r="S8" s="10">
        <f t="shared" si="4"/>
        <v>84.291666666666671</v>
      </c>
    </row>
    <row r="9" spans="1:19" x14ac:dyDescent="0.35">
      <c r="A9" s="11" t="s">
        <v>59</v>
      </c>
      <c r="B9" s="11" t="s">
        <v>68</v>
      </c>
      <c r="F9" s="11">
        <v>105</v>
      </c>
      <c r="G9" s="11">
        <f t="shared" ref="G9:G10" si="5">F9/2</f>
        <v>52.5</v>
      </c>
      <c r="H9" s="7">
        <v>1</v>
      </c>
      <c r="I9" s="11">
        <f t="shared" si="2"/>
        <v>52.5</v>
      </c>
      <c r="J9" s="7">
        <v>-0.05</v>
      </c>
      <c r="M9" s="7">
        <v>0</v>
      </c>
      <c r="Q9" s="10">
        <f>$I9*(1+M9)</f>
        <v>52.5</v>
      </c>
      <c r="R9" s="10">
        <f>Q9*2</f>
        <v>105</v>
      </c>
      <c r="S9" s="10">
        <f>Q9*3</f>
        <v>157.5</v>
      </c>
    </row>
    <row r="10" spans="1:19" x14ac:dyDescent="0.35">
      <c r="A10" s="11" t="s">
        <v>59</v>
      </c>
      <c r="B10" s="11" t="s">
        <v>69</v>
      </c>
      <c r="F10" s="11">
        <v>145.83000000000001</v>
      </c>
      <c r="G10" s="11">
        <f t="shared" si="5"/>
        <v>72.915000000000006</v>
      </c>
      <c r="H10" s="7">
        <v>0.75</v>
      </c>
      <c r="I10" s="11">
        <f t="shared" si="2"/>
        <v>54.686250000000001</v>
      </c>
      <c r="J10" s="7">
        <v>-0.05</v>
      </c>
      <c r="K10" s="7">
        <v>0.5</v>
      </c>
      <c r="L10" s="7">
        <v>-0.25</v>
      </c>
      <c r="M10" s="7">
        <v>0.25</v>
      </c>
      <c r="O10" s="10">
        <f>$I10*(1+K10)</f>
        <v>82.029375000000002</v>
      </c>
      <c r="P10" s="10">
        <f>$I10*(1+L10)</f>
        <v>41.014687500000001</v>
      </c>
      <c r="Q10" s="10">
        <f>$I10*(1+M10)</f>
        <v>68.357812499999994</v>
      </c>
      <c r="R10" s="10">
        <f t="shared" si="3"/>
        <v>68.357812499999994</v>
      </c>
      <c r="S10" s="10">
        <f t="shared" si="4"/>
        <v>63.800624999999997</v>
      </c>
    </row>
    <row r="11" spans="1:19" x14ac:dyDescent="0.35">
      <c r="A11" s="11" t="s">
        <v>89</v>
      </c>
      <c r="B11" s="11" t="s">
        <v>71</v>
      </c>
      <c r="E11" s="11">
        <v>42.41</v>
      </c>
      <c r="G11" s="11">
        <f>E11</f>
        <v>42.41</v>
      </c>
      <c r="H11" s="7">
        <v>0.9</v>
      </c>
      <c r="I11" s="11">
        <f t="shared" si="2"/>
        <v>38.168999999999997</v>
      </c>
      <c r="J11" s="7">
        <v>-0.05</v>
      </c>
      <c r="K11" s="7">
        <v>-0.5</v>
      </c>
      <c r="L11" s="7">
        <v>0.5</v>
      </c>
      <c r="M11" s="7">
        <v>0.75</v>
      </c>
      <c r="O11" s="10">
        <f>$I11*(1+K11)</f>
        <v>19.084499999999998</v>
      </c>
      <c r="P11" s="10">
        <f>$I11*(1+L11)</f>
        <v>57.253499999999995</v>
      </c>
      <c r="Q11" s="10">
        <f>$I11*(1+M11)</f>
        <v>66.795749999999998</v>
      </c>
      <c r="R11" s="10">
        <f t="shared" si="3"/>
        <v>40.554562499999996</v>
      </c>
      <c r="S11" s="10">
        <f t="shared" si="4"/>
        <v>47.711249999999993</v>
      </c>
    </row>
    <row r="12" spans="1:19" x14ac:dyDescent="0.35">
      <c r="A12" s="11" t="s">
        <v>89</v>
      </c>
      <c r="B12" s="11" t="s">
        <v>65</v>
      </c>
      <c r="E12" s="11">
        <v>45.7</v>
      </c>
      <c r="G12" s="11">
        <f>E12</f>
        <v>45.7</v>
      </c>
      <c r="H12" s="7">
        <v>0.75</v>
      </c>
      <c r="I12" s="11">
        <f t="shared" si="2"/>
        <v>34.275000000000006</v>
      </c>
      <c r="J12" s="7">
        <v>-0.05</v>
      </c>
      <c r="K12" s="7">
        <v>1</v>
      </c>
      <c r="L12" s="7">
        <v>-0.5</v>
      </c>
      <c r="M12" s="7">
        <v>0.25</v>
      </c>
      <c r="O12" s="10">
        <f>$I12*(1+K12)</f>
        <v>68.550000000000011</v>
      </c>
      <c r="P12" s="10">
        <f>$I12*(1+L12)</f>
        <v>17.137500000000003</v>
      </c>
      <c r="Q12" s="10">
        <f>$I12*(1+M12)</f>
        <v>42.843750000000007</v>
      </c>
      <c r="R12" s="10">
        <f t="shared" si="3"/>
        <v>49.270312500000003</v>
      </c>
      <c r="S12" s="10">
        <f t="shared" si="4"/>
        <v>42.843750000000007</v>
      </c>
    </row>
    <row r="13" spans="1:19" x14ac:dyDescent="0.35">
      <c r="A13" s="11" t="s">
        <v>89</v>
      </c>
      <c r="B13" s="11" t="s">
        <v>72</v>
      </c>
      <c r="E13" s="11">
        <v>11.41</v>
      </c>
      <c r="G13" s="11">
        <f>E13</f>
        <v>11.41</v>
      </c>
      <c r="H13" s="7">
        <v>1</v>
      </c>
      <c r="I13" s="11">
        <f t="shared" si="2"/>
        <v>11.41</v>
      </c>
      <c r="J13" s="7">
        <v>0.25</v>
      </c>
      <c r="M13" s="7">
        <v>0</v>
      </c>
      <c r="Q13" s="10">
        <f>$I13*(1+M13)</f>
        <v>11.41</v>
      </c>
      <c r="R13" s="10">
        <f>Q13*2</f>
        <v>22.82</v>
      </c>
      <c r="S13" s="10">
        <f>Q13*3</f>
        <v>34.230000000000004</v>
      </c>
    </row>
    <row r="14" spans="1:19" x14ac:dyDescent="0.35">
      <c r="A14" s="11" t="s">
        <v>25</v>
      </c>
      <c r="B14" s="11" t="s">
        <v>73</v>
      </c>
      <c r="C14" s="11">
        <v>7.57</v>
      </c>
      <c r="G14" s="11">
        <f>C14*4</f>
        <v>30.28</v>
      </c>
      <c r="H14" s="7">
        <v>0.85</v>
      </c>
      <c r="I14" s="11">
        <f t="shared" si="2"/>
        <v>25.738</v>
      </c>
      <c r="J14" s="7">
        <v>0.25</v>
      </c>
      <c r="K14" s="7">
        <v>0.5</v>
      </c>
      <c r="L14" s="7">
        <v>-0.75</v>
      </c>
      <c r="M14" s="7">
        <v>0.25</v>
      </c>
      <c r="O14" s="10">
        <f>$I14*(1+K14)</f>
        <v>38.606999999999999</v>
      </c>
      <c r="P14" s="10">
        <f>$I14*(1+L14)</f>
        <v>6.4344999999999999</v>
      </c>
      <c r="Q14" s="10">
        <f>$I14*(1+M14)</f>
        <v>32.172499999999999</v>
      </c>
      <c r="R14" s="10">
        <f t="shared" si="3"/>
        <v>28.955249999999999</v>
      </c>
      <c r="S14" s="10">
        <f t="shared" si="4"/>
        <v>25.738</v>
      </c>
    </row>
    <row r="15" spans="1:19" hidden="1" x14ac:dyDescent="0.35">
      <c r="B15" s="11" t="s">
        <v>74</v>
      </c>
      <c r="C15" s="11">
        <v>3.46</v>
      </c>
      <c r="G15" s="11">
        <f>C15*4</f>
        <v>13.84</v>
      </c>
      <c r="H15" s="7">
        <v>0.75</v>
      </c>
      <c r="I15" s="11">
        <f t="shared" si="2"/>
        <v>10.379999999999999</v>
      </c>
      <c r="J15" s="7">
        <v>0</v>
      </c>
      <c r="K15" s="7">
        <v>1</v>
      </c>
      <c r="L15" s="7">
        <v>-0.75</v>
      </c>
      <c r="M15" s="7">
        <v>0</v>
      </c>
      <c r="O15" s="10">
        <f>$I15*(1+K15)</f>
        <v>20.759999999999998</v>
      </c>
      <c r="P15" s="10">
        <f>$I15*(1+L15)</f>
        <v>2.5949999999999998</v>
      </c>
      <c r="Q15" s="10">
        <f>$I15*(1+M15)</f>
        <v>10.379999999999999</v>
      </c>
      <c r="S15" s="11">
        <f t="shared" si="4"/>
        <v>11.244999999999999</v>
      </c>
    </row>
    <row r="16" spans="1:19" x14ac:dyDescent="0.35">
      <c r="A16" s="11" t="s">
        <v>90</v>
      </c>
      <c r="B16" s="11" t="s">
        <v>90</v>
      </c>
      <c r="E16" s="11">
        <v>40</v>
      </c>
      <c r="G16" s="11">
        <f>E16</f>
        <v>40</v>
      </c>
      <c r="H16" s="7">
        <v>1</v>
      </c>
      <c r="I16" s="11">
        <f t="shared" si="2"/>
        <v>40</v>
      </c>
      <c r="J16" s="12">
        <v>0.95</v>
      </c>
      <c r="L16" s="7">
        <v>0.5</v>
      </c>
      <c r="M16" s="7">
        <v>0</v>
      </c>
      <c r="P16" s="10">
        <f>$I16*(1+L16)</f>
        <v>60</v>
      </c>
      <c r="Q16" s="10">
        <f>$I16*(1+M16)</f>
        <v>40</v>
      </c>
      <c r="R16" s="10">
        <f>(P16/4+Q16/2)/3*4</f>
        <v>46.666666666666664</v>
      </c>
      <c r="S16" s="11">
        <f>(P16/3+Q16/3)/2*3</f>
        <v>50</v>
      </c>
    </row>
    <row r="18" spans="2:2" x14ac:dyDescent="0.35">
      <c r="B18" s="11" t="s">
        <v>91</v>
      </c>
    </row>
    <row r="19" spans="2:2" x14ac:dyDescent="0.35">
      <c r="B19" s="11" t="s">
        <v>92</v>
      </c>
    </row>
  </sheetData>
  <conditionalFormatting sqref="O3:Q14">
    <cfRule type="dataBar" priority="7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{B2927C17-C24C-4FF1-821F-2F9CE8635ED4}</x14:id>
        </ext>
      </extLst>
    </cfRule>
  </conditionalFormatting>
  <conditionalFormatting sqref="R3:R14">
    <cfRule type="dataBar" priority="6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{DDB4ACF6-E461-4761-B584-F3101D12D614}</x14:id>
        </ext>
      </extLst>
    </cfRule>
  </conditionalFormatting>
  <conditionalFormatting sqref="J3:J14">
    <cfRule type="dataBar" priority="5">
      <dataBar>
        <cfvo type="num" val="-0.5"/>
        <cfvo type="num" val="0.5"/>
        <color theme="9" tint="-0.499984740745262"/>
      </dataBar>
      <extLst>
        <ext xmlns:x14="http://schemas.microsoft.com/office/spreadsheetml/2009/9/main" uri="{B025F937-C7B1-47D3-B67F-A62EFF666E3E}">
          <x14:id>{AE3BE83E-4A05-4A11-BBAA-F859587C9871}</x14:id>
        </ext>
      </extLst>
    </cfRule>
  </conditionalFormatting>
  <conditionalFormatting sqref="S3:S14">
    <cfRule type="dataBar" priority="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{A2C5B08B-FB94-44E0-AA7D-33EE9E7C554C}</x14:id>
        </ext>
      </extLst>
    </cfRule>
  </conditionalFormatting>
  <conditionalFormatting sqref="R16">
    <cfRule type="dataBar" priority="3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{C1C92A7B-5AD1-4479-B2C6-DC6370732358}</x14:id>
        </ext>
      </extLst>
    </cfRule>
  </conditionalFormatting>
  <conditionalFormatting sqref="R3:R16">
    <cfRule type="dataBar" priority="2">
      <dataBar>
        <cfvo type="num" val="0"/>
        <cfvo type="max"/>
        <color theme="8" tint="-0.499984740745262"/>
      </dataBar>
      <extLst>
        <ext xmlns:x14="http://schemas.microsoft.com/office/spreadsheetml/2009/9/main" uri="{B025F937-C7B1-47D3-B67F-A62EFF666E3E}">
          <x14:id>{DB9C9DDC-B464-445D-AF8C-2E5E5741B9D6}</x14:id>
        </ext>
      </extLst>
    </cfRule>
  </conditionalFormatting>
  <conditionalFormatting sqref="S3:S16">
    <cfRule type="dataBar" priority="1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{235C2A8E-6BA6-4B66-A9E7-EC4FF8B1F6AF}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927C17-C24C-4FF1-821F-2F9CE863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O3:Q14</xm:sqref>
        </x14:conditionalFormatting>
        <x14:conditionalFormatting xmlns:xm="http://schemas.microsoft.com/office/excel/2006/main">
          <x14:cfRule type="dataBar" id="{DDB4ACF6-E461-4761-B584-F3101D12D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R3:R14</xm:sqref>
        </x14:conditionalFormatting>
        <x14:conditionalFormatting xmlns:xm="http://schemas.microsoft.com/office/excel/2006/main">
          <x14:cfRule type="dataBar" id="{AE3BE83E-4A05-4A11-BBAA-F859587C9871}">
            <x14:dataBar minLength="0" maxLength="100" gradient="0">
              <x14:cfvo type="num">
                <xm:f>-0.5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A2C5B08B-FB94-44E0-AA7D-33EE9E7C5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S3:S14</xm:sqref>
        </x14:conditionalFormatting>
        <x14:conditionalFormatting xmlns:xm="http://schemas.microsoft.com/office/excel/2006/main">
          <x14:cfRule type="dataBar" id="{C1C92A7B-5AD1-4479-B2C6-DC6370732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DB9C9DDC-B464-445D-AF8C-2E5E5741B9D6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R3:R16</xm:sqref>
        </x14:conditionalFormatting>
        <x14:conditionalFormatting xmlns:xm="http://schemas.microsoft.com/office/excel/2006/main">
          <x14:cfRule type="dataBar" id="{235C2A8E-6BA6-4B66-A9E7-EC4FF8B1F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Job</vt:lpstr>
      <vt:lpstr>Hitpoint</vt:lpstr>
      <vt:lpstr>Combat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Nanfeng Qin</dc:creator>
  <cp:lastModifiedBy>Nanfeng Qin</cp:lastModifiedBy>
  <dcterms:created xsi:type="dcterms:W3CDTF">2015-06-05T18:17:20Z</dcterms:created>
  <dcterms:modified xsi:type="dcterms:W3CDTF">2022-10-31T10:10:46Z</dcterms:modified>
</cp:coreProperties>
</file>